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1" sheetId="1" r:id="rId1"/>
    <sheet name="2" sheetId="2" r:id="rId2"/>
    <sheet name="mincovka2" sheetId="3" state="hidden" r:id="rId3"/>
    <sheet name="mincovka3" sheetId="4" state="hidden" r:id="rId4"/>
    <sheet name="if" sheetId="5" r:id="rId5"/>
    <sheet name="DM" sheetId="6" r:id="rId6"/>
    <sheet name="opel" sheetId="7" r:id="rId7"/>
    <sheet name="kraje" sheetId="8" r:id="rId8"/>
  </sheets>
  <externalReferences>
    <externalReference r:id="rId11"/>
    <externalReference r:id="rId12"/>
  </externalReferences>
  <definedNames>
    <definedName name="Cena__Sk">#REF!</definedName>
    <definedName name="cvičenie">#REF!</definedName>
    <definedName name="daň">'if'!$H$50</definedName>
    <definedName name="j._m.">'[2]7'!$D$23:$D$43</definedName>
    <definedName name="jedn._cena">'[2]7'!$E$23:$E$43</definedName>
    <definedName name="kód">'[2]7'!$B$23:$B$43</definedName>
    <definedName name="názov">'[2]7'!$C$23:$C$43</definedName>
    <definedName name="prezidentské_voľby">#REF!</definedName>
    <definedName name="príjmy">'if'!$C$17:$K$17</definedName>
    <definedName name="sadzba">'if'!$H$48</definedName>
    <definedName name="úrok">'if'!$H$49</definedName>
    <definedName name="veľké_nič">#REF!</definedName>
    <definedName name="vklad">'if'!$H$47</definedName>
    <definedName name="výber">'if'!$H$51</definedName>
    <definedName name="výdavky">'if'!$C$18:$K$18</definedName>
    <definedName name="Vzdialenos">#REF!</definedName>
  </definedNames>
  <calcPr fullCalcOnLoad="1"/>
</workbook>
</file>

<file path=xl/comments1.xml><?xml version="1.0" encoding="utf-8"?>
<comments xmlns="http://schemas.openxmlformats.org/spreadsheetml/2006/main">
  <authors>
    <author>Home PC</author>
  </authors>
  <commentList>
    <comment ref="B24" authorId="0">
      <text>
        <r>
          <rPr>
            <b/>
            <sz val="9"/>
            <rFont val="Tahoma"/>
            <family val="2"/>
          </rPr>
          <t xml:space="preserve">Ak je suma rozdelená správne, vypíše </t>
        </r>
        <r>
          <rPr>
            <b/>
            <i/>
            <sz val="9"/>
            <rFont val="Tahoma"/>
            <family val="2"/>
          </rPr>
          <t>OK</t>
        </r>
        <r>
          <rPr>
            <b/>
            <sz val="9"/>
            <rFont val="Tahoma"/>
            <family val="2"/>
          </rPr>
          <t>, inak vypíše červené x.</t>
        </r>
      </text>
    </comment>
  </commentList>
</comments>
</file>

<file path=xl/comments2.xml><?xml version="1.0" encoding="utf-8"?>
<comments xmlns="http://schemas.openxmlformats.org/spreadsheetml/2006/main">
  <authors>
    <author>Home PC</author>
    <author>Administrator</author>
  </authors>
  <commentList>
    <comment ref="H5" authorId="0">
      <text>
        <r>
          <rPr>
            <b/>
            <sz val="9"/>
            <rFont val="Tahoma"/>
            <family val="2"/>
          </rPr>
          <t>Ak v danom riadku mincovka obsahuje len 20-kové alebo 7-kové a žiadne iné, tak výsledok bude "Veľké bankovky"</t>
        </r>
      </text>
    </comment>
    <comment ref="G5" authorId="1">
      <text>
        <r>
          <rPr>
            <b/>
            <sz val="9"/>
            <rFont val="Tahoma"/>
            <family val="2"/>
          </rPr>
          <t>najlepšie začať touto bunkou, alebo inou bunkou v tomto stĺpci . Je to stĺpec, kde sa rozdeľuje najväčšia bankovka</t>
        </r>
      </text>
    </comment>
    <comment ref="C26" authorId="1">
      <text>
        <r>
          <rPr>
            <b/>
            <sz val="9"/>
            <rFont val="Tahoma"/>
            <family val="2"/>
          </rPr>
          <t>Začať tu alebo inou bunkou v tomto riadku</t>
        </r>
      </text>
    </comment>
  </commentList>
</comments>
</file>

<file path=xl/comments5.xml><?xml version="1.0" encoding="utf-8"?>
<comments xmlns="http://schemas.openxmlformats.org/spreadsheetml/2006/main">
  <authors>
    <author>HUZVAR</author>
  </authors>
  <commentList>
    <comment ref="H47" authorId="0">
      <text>
        <r>
          <rPr>
            <b/>
            <sz val="8"/>
            <rFont val="Tahoma"/>
            <family val="2"/>
          </rPr>
          <t>Sem zadajte hodnotu
počiatočného vkladu,
minimálne 2 000 €.</t>
        </r>
      </text>
    </comment>
    <comment ref="H48" authorId="0">
      <text>
        <r>
          <rPr>
            <b/>
            <sz val="8"/>
            <rFont val="Tahoma"/>
            <family val="2"/>
          </rPr>
          <t>Podľa výšky vkladu a vedľajšej tabuľky vypočítajte úrokovú
sadzbu (% p.a.). 
Ak je vklad nižší ako 2 000 €, úroková sadzba je 0%.</t>
        </r>
      </text>
    </comment>
    <comment ref="H49" authorId="0">
      <text>
        <r>
          <rPr>
            <b/>
            <sz val="8"/>
            <rFont val="Tahoma"/>
            <family val="2"/>
          </rPr>
          <t>Vypočítajte ročný úrok v €
z daného vkladu pri
stanovenej úrokovej sadzbe. Výsledok zaokrúhlite na celé eurá.</t>
        </r>
      </text>
    </comment>
    <comment ref="H50" authorId="0">
      <text>
        <r>
          <rPr>
            <b/>
            <sz val="8"/>
            <rFont val="Tahoma"/>
            <family val="2"/>
          </rPr>
          <t xml:space="preserve">Daň = 20% z úroku.
</t>
        </r>
      </text>
    </comment>
    <comment ref="H51" authorId="0">
      <text>
        <r>
          <rPr>
            <b/>
            <sz val="8"/>
            <rFont val="Tahoma"/>
            <family val="2"/>
          </rPr>
          <t>Peniaze na účte po roku
= počiatočný vklad
+ úrok - daň z úroku.
Môžete si ich vybrať.</t>
        </r>
      </text>
    </comment>
  </commentList>
</comments>
</file>

<file path=xl/sharedStrings.xml><?xml version="1.0" encoding="utf-8"?>
<sst xmlns="http://schemas.openxmlformats.org/spreadsheetml/2006/main" count="213" uniqueCount="193">
  <si>
    <t>počet bankoviek</t>
  </si>
  <si>
    <t>Doplňte mincovku. 0 nebudú viditeľné, 1 budú napísané zelenou farbou a 2 modrou.</t>
  </si>
  <si>
    <t xml:space="preserve">Doplňte mincovku. </t>
  </si>
  <si>
    <t>Nulové hodnoty nebudú viditeľné, jednotky budú červené, dvojky modré a ostatné zelené.</t>
  </si>
  <si>
    <t>hodnoty platidiel</t>
  </si>
  <si>
    <t>Jednotky budú napísané červenou farbou, dvojky modrou a ostatné zelenou.</t>
  </si>
  <si>
    <t>Kontrola</t>
  </si>
  <si>
    <t>Evidencia dlhodobého majetku</t>
  </si>
  <si>
    <t>Druh DM</t>
  </si>
  <si>
    <t>Vstupná cena</t>
  </si>
  <si>
    <t>Ročný odpis-rovnomerný</t>
  </si>
  <si>
    <t>Mesačný odpis</t>
  </si>
  <si>
    <t>Doba odpisovania</t>
  </si>
  <si>
    <t>Zostatková cena</t>
  </si>
  <si>
    <t>% opotrebenia</t>
  </si>
  <si>
    <t>Traktor</t>
  </si>
  <si>
    <t>Nákladné auto</t>
  </si>
  <si>
    <t>Kombajn</t>
  </si>
  <si>
    <t>Počítač</t>
  </si>
  <si>
    <t>Počet odpísaných rokov</t>
  </si>
  <si>
    <t>Do poznámky napíšte podľa % opotrebenia:</t>
  </si>
  <si>
    <r>
      <t xml:space="preserve">ak je najviac 65% - </t>
    </r>
    <r>
      <rPr>
        <b/>
        <sz val="10"/>
        <rFont val="Arial"/>
        <family val="2"/>
      </rPr>
      <t>bežná údržba</t>
    </r>
  </si>
  <si>
    <r>
      <t xml:space="preserve">ak je najviac 90% - </t>
    </r>
    <r>
      <rPr>
        <b/>
        <sz val="10"/>
        <rFont val="Arial"/>
        <family val="2"/>
      </rPr>
      <t>generálna prehliadka</t>
    </r>
  </si>
  <si>
    <r>
      <t>Ak je viac ako 90% -</t>
    </r>
    <r>
      <rPr>
        <b/>
        <sz val="10"/>
        <rFont val="Arial"/>
        <family val="2"/>
      </rPr>
      <t xml:space="preserve"> vyradiť</t>
    </r>
  </si>
  <si>
    <t>Poznámka</t>
  </si>
  <si>
    <t>Doplňte tabuľku.</t>
  </si>
  <si>
    <t>OPEL</t>
  </si>
  <si>
    <t>Nákupná cena jedného auta</t>
  </si>
  <si>
    <t>Prirážka</t>
  </si>
  <si>
    <t>Spotrebná daň</t>
  </si>
  <si>
    <t>Predajná cena</t>
  </si>
  <si>
    <t>Počet predaných áut</t>
  </si>
  <si>
    <t>Príjmy</t>
  </si>
  <si>
    <t>Výdavky</t>
  </si>
  <si>
    <t>Zisk z predaja áut</t>
  </si>
  <si>
    <t>Náklady na činnosť firmy</t>
  </si>
  <si>
    <t>Čistý zisk</t>
  </si>
  <si>
    <t>Daň zo zisku</t>
  </si>
  <si>
    <t>Čistý zdanený zisk</t>
  </si>
  <si>
    <t>Prémia</t>
  </si>
  <si>
    <t>Corsa</t>
  </si>
  <si>
    <t>Astra</t>
  </si>
  <si>
    <t>Omega</t>
  </si>
  <si>
    <t>Combo</t>
  </si>
  <si>
    <t>Spolu</t>
  </si>
  <si>
    <t>Prirážka je :</t>
  </si>
  <si>
    <t>Spotrebná daň je:</t>
  </si>
  <si>
    <r>
      <t xml:space="preserve">Predajnú cenu </t>
    </r>
    <r>
      <rPr>
        <b/>
        <sz val="10"/>
        <rFont val="Arial CE"/>
        <family val="2"/>
      </rPr>
      <t>zaokrúhlite</t>
    </r>
    <r>
      <rPr>
        <sz val="11"/>
        <color theme="1"/>
        <rFont val="Calibri"/>
        <family val="2"/>
      </rPr>
      <t xml:space="preserve"> na celé  čísla!</t>
    </r>
  </si>
  <si>
    <r>
      <t xml:space="preserve">Ak je zisk menší ako 1 000 000 Sk, tak sú </t>
    </r>
    <r>
      <rPr>
        <b/>
        <sz val="10"/>
        <rFont val="Arial CE"/>
        <family val="2"/>
      </rPr>
      <t>náklady</t>
    </r>
    <r>
      <rPr>
        <sz val="11"/>
        <color theme="1"/>
        <rFont val="Calibri"/>
        <family val="2"/>
      </rPr>
      <t xml:space="preserve"> na činnosť firmy 55%, inak sú 42%</t>
    </r>
  </si>
  <si>
    <t>Ak je čistý zisk &lt; ako 200 000 tak daň je 15% z celej sumy</t>
  </si>
  <si>
    <t>Ak je čistý zisk &gt;= ako 200 000 a &lt; 500 000 tak daň je 20% z celej sumy</t>
  </si>
  <si>
    <t>Ak je čistý zisk &gt;= ako 500 000 tak daň je 25% z celej sumy</t>
  </si>
  <si>
    <t>Prémia sa udeľuje vo výške 1% z čistého zdaneného zisku ak je počet predaných áut daného typu aspoň 20 alebo je čistý zdanený zisk väčší ako 400 000 Sk</t>
  </si>
  <si>
    <t>Kraj</t>
  </si>
  <si>
    <t>Obyvateľstvo spolu</t>
  </si>
  <si>
    <t>z toho národnosť</t>
  </si>
  <si>
    <t>Priemer neslovenských národností</t>
  </si>
  <si>
    <t>Preľudnenosť</t>
  </si>
  <si>
    <t>slovenská</t>
  </si>
  <si>
    <t>maďarská</t>
  </si>
  <si>
    <t>rómska</t>
  </si>
  <si>
    <t>česká</t>
  </si>
  <si>
    <t>rusínska</t>
  </si>
  <si>
    <t>ukrajinská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</si>
  <si>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</si>
  <si>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</si>
  <si>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</si>
  <si>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</si>
  <si>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</si>
  <si>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</si>
  <si>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 xml:space="preserve">Prešovský </t>
  </si>
  <si>
    <t xml:space="preserve">Košický </t>
  </si>
  <si>
    <t>Národnosť</t>
  </si>
  <si>
    <t>Dátum sčítania</t>
  </si>
  <si>
    <t>Pokles alebo rast</t>
  </si>
  <si>
    <t xml:space="preserve">Zmena obyvateľstva </t>
  </si>
  <si>
    <t>Úlohy:</t>
  </si>
  <si>
    <t>Doplňte chýbajúce údaje v tabuľkách</t>
  </si>
  <si>
    <t>1. Do buniek B3 až B10 vypočítajte počet obyvateľov všetkých národností za jednotlivé kraje</t>
  </si>
  <si>
    <t>2. Do buniek I3 až I10 vypočítajte priemer iných národností ako slovenskej a zaokrúhlite na celé čísla nahor</t>
  </si>
  <si>
    <t>3. Do buniek J3 až J10 napíšte slovo áno ak celkový počet obyvateľov je väčší ako 700 000, ak je je počet menší napíšte slovo nie</t>
  </si>
  <si>
    <t>4. Do buniek E15 až E21 napíšte slovo vzrástlo, ak obyvateľstvo v r. 2001 oproti roku 1991 skutočne vzrástlo, a ak pokleslo, tak napíšte pokleslo</t>
  </si>
  <si>
    <t>5. V bunkách F15 až F21 zistite ako sa zmenilo obyvateľstvo v r. 2001 oproti r. 1991:</t>
  </si>
  <si>
    <t xml:space="preserve">Ak obyvateľstvo kleslo a tento pokles bol väčší ako 40 000 obyvateľov napíšte vysoký pokles a ak bol tento pokles menší ako </t>
  </si>
  <si>
    <t>40 000 obyvateľov napíšte mierny pokles.</t>
  </si>
  <si>
    <t xml:space="preserve">                                               </t>
  </si>
  <si>
    <t xml:space="preserve">6. Ak niektoré bunky z C3:H10 sú väčšie ako 500 000, budú vyznačené oranžovou farbou, ak sú väčšie ako 30 000 </t>
  </si>
  <si>
    <t xml:space="preserve">    budú vyznačené zelenou farbou. Zvyšok bude žltý.</t>
  </si>
  <si>
    <t xml:space="preserve">Dovozca spotrebného tovaru poskytuje svojim obchodným partnerom zľavu 7% </t>
  </si>
  <si>
    <t>z ceny tovaru pri každom nákupe nad 1000 USD.</t>
  </si>
  <si>
    <t>Vypočítajte výšku poskytnutej zľavy v USD, ak poznáte základnú cenu predávaného tovaru.</t>
  </si>
  <si>
    <t>Výsledok zobrazte v dolároch.</t>
  </si>
  <si>
    <t>Cena tovaru bez zľavy:</t>
  </si>
  <si>
    <t>Zľava:</t>
  </si>
  <si>
    <t>Cena tovaru so zľavou:</t>
  </si>
  <si>
    <t>Druhý a tretí riadok nasledujúcej tabuľky nazvite podľa hodnôt prvého stĺpca (Príjmy, Výdavky).</t>
  </si>
  <si>
    <t xml:space="preserve">Vzorce pre výpočet zisku upravte tak, aby dávali hodnotu 0 v prípade, že príjmy za príslušný rok </t>
  </si>
  <si>
    <t>sú nižšie ako výdavky. Vo vzorcoch využite názvy riadkov.</t>
  </si>
  <si>
    <t>Rok</t>
  </si>
  <si>
    <t>Zisk</t>
  </si>
  <si>
    <t xml:space="preserve">V druhom kole prezidentských volieb súperili dvaja kandidáti. V tabuľke sú uvedené počty hlasov, ktoré získali </t>
  </si>
  <si>
    <t>v jednotlivých okresoch Banskobystrického kraja.</t>
  </si>
  <si>
    <t>Okres</t>
  </si>
  <si>
    <t>Ján Sľub</t>
  </si>
  <si>
    <t>Jozef Čin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</si>
  <si>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</si>
  <si>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</si>
  <si>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</si>
  <si>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</si>
  <si>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</si>
  <si>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</si>
  <si>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</si>
  <si>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</si>
  <si>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</si>
  <si>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</si>
  <si>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</si>
  <si>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</si>
  <si>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</si>
  <si>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Víťaz volieb v Banskobystrickom kraji:</t>
  </si>
  <si>
    <t>Jednotlivým bunkám posledného stĺpca druhej tabuľky prideľte vhodné názvy a využite ich vo vzorcoch.</t>
  </si>
  <si>
    <t>Vytvorte vzorce, ktoré pre ľubovoľnú hodnotu počiatočného vkladu vypočítajú úrok získaný za 12 mesiacov,</t>
  </si>
  <si>
    <t>daň z úroku a stav na účte po 12 mesiacoch. Podrobnejšie pokyny nájdete v komentároch príslušných buniek.</t>
  </si>
  <si>
    <t>Výška vkladu</t>
  </si>
  <si>
    <t>Úroková</t>
  </si>
  <si>
    <t>Vklad</t>
  </si>
  <si>
    <t>od</t>
  </si>
  <si>
    <t>do</t>
  </si>
  <si>
    <t>sadzba</t>
  </si>
  <si>
    <t>Sadzba</t>
  </si>
  <si>
    <t>Úrok</t>
  </si>
  <si>
    <t>Daň</t>
  </si>
  <si>
    <t>-</t>
  </si>
  <si>
    <t>Výber</t>
  </si>
  <si>
    <t xml:space="preserve">Vytvorte vzorec, ktorý zistí a vypíše meno kandidáta, </t>
  </si>
  <si>
    <t>ktorý získal najviac hlasov v Banskobystrickom kraji.</t>
  </si>
  <si>
    <t>V tabuľke sú uvedené úrokové sadzby 12-mesačných eurových termínovaných vkladov v Držgroš banke,</t>
  </si>
  <si>
    <t>diferencované podľa výšky vkladu. Minimálny vklad je 2 000 €, zhora nie je výška vkladu obmedzená.</t>
  </si>
  <si>
    <t>IF</t>
  </si>
  <si>
    <t>Úloha 1</t>
  </si>
  <si>
    <t>Úloha 2</t>
  </si>
  <si>
    <t>Úloha 3</t>
  </si>
  <si>
    <t>Úloha 4</t>
  </si>
  <si>
    <t>Riešte úlohy.</t>
  </si>
  <si>
    <t>oprávky/vstupná cena</t>
  </si>
  <si>
    <t>mincovka s INT</t>
  </si>
  <si>
    <t>kontrola - IF - (či sa počet rozdelených bankoviek t.j. čísla v mincovke * bankovky = rozdeľovanej sume)</t>
  </si>
  <si>
    <t>mincovka s INT, prepísať 50 c na 0,5</t>
  </si>
  <si>
    <t>počet bankoviek - SUM</t>
  </si>
  <si>
    <t>nuly - Súbor - Možnosti - Rozšírené...</t>
  </si>
  <si>
    <t>červené - podmienené formátovanie (možnosť Formátovať len bunky, ktoré obsahujú ... rovná sa, "x" - alebo cez Podmien. formát. - Pravidlá zvýrazňovania buniek)</t>
  </si>
  <si>
    <t>jednotky červené, dvojky modré a ostatné zelené - podmienené formátovanie (možnosť - Formátovať len bunky, ktoré obsahujú... - alebo cez Podmien. formát. - Pravidlá zvýrazňovania buniek)</t>
  </si>
  <si>
    <t>ak budete dávať doláre pred sumy, aj pre bankovky, spravíte akýkoľvek typ mincovky</t>
  </si>
  <si>
    <t>snažte sa nenarušiť formát mincovky - aby tam neboli vo vnútri bledoružovej plochy čiary</t>
  </si>
  <si>
    <t>Veľké bankovky - IF (ak sa počty rozdelených bankoviek * 20 a 7 rovnajú celej rozdelenej sume. Údaje zo stĺpcov G a F - tu sú počty bankoviek * bankovky 20 a 7)</t>
  </si>
  <si>
    <t xml:space="preserve">pri ťahaní buniek hore - využiť možnosť Výplň bez formátovania </t>
  </si>
  <si>
    <t>IF - ak partner nakúpi nad 1000, vtedy zľava 7% (alebo číslo 0,07)*cena tovaru bez zľavy, inak 0 žiadna zľava</t>
  </si>
  <si>
    <t>formáty - číslo - mena USD</t>
  </si>
  <si>
    <t>IF - ak sú (príjmy &lt; výdavky) čiže strata, tak sa vypíše 0, inak sa vypíše aký bol zisk - t. j. (príjmy - výdavky)</t>
  </si>
  <si>
    <r>
      <t xml:space="preserve">odstrániť znaky </t>
    </r>
    <r>
      <rPr>
        <b/>
        <i/>
        <sz val="10"/>
        <color indexed="23"/>
        <rFont val="Arial"/>
        <family val="2"/>
      </rPr>
      <t>,-</t>
    </r>
    <r>
      <rPr>
        <i/>
        <sz val="10"/>
        <color indexed="23"/>
        <rFont val="Arial"/>
        <family val="2"/>
      </rPr>
      <t xml:space="preserve"> Najrýchlejšie označiť všetky bunky, v ktorých sa nechcený znak nacháda a cez možnosť Nahradiť (hľadať -, a nahradiť ničím)</t>
    </r>
  </si>
  <si>
    <t>IF - ak je SUM všetkých hlasov, ktoré získal J. Sľub &gt; SUM hlasov, ktoré získal J. Čin, tak vyhral Ján Sľub, inak vyhral Jozef Čin</t>
  </si>
  <si>
    <t>len pre kontrolu spočítané hlasy</t>
  </si>
  <si>
    <t>pomenovať jednolivé bunky - klik a do poľa názvov vpísať pomenovanie bunky</t>
  </si>
  <si>
    <t>Úr. Sadzba</t>
  </si>
  <si>
    <t>sadzba - treba priradiť z tabuľky na základe vkladu - IF</t>
  </si>
  <si>
    <t>úrok - nezabudnúť na zaokrúhlenie - s ROUND</t>
  </si>
  <si>
    <t>(dá sa aj cez VLOOKUP - no tabuľka by musela vyzerať inak - záujemcovia odkryte stĺpce Q a R :-))</t>
  </si>
  <si>
    <t>Ročný odpis - rovnomerný = VC/doba odpisovania</t>
  </si>
  <si>
    <t>Mesačný odpis = ročný/12</t>
  </si>
  <si>
    <t>Zostatková cena = VC - (Ročný odpis * počet odpísaných rokov)</t>
  </si>
  <si>
    <t>% opotrebenia = (VC-ZC)/VC</t>
  </si>
  <si>
    <t>ak chceme zistiť % nejakej časti - vždy je to časť/celok</t>
  </si>
  <si>
    <r>
      <t xml:space="preserve">Poznámka - IF - ak je % opotr.&lt;= 65%, tak sa vypíše </t>
    </r>
    <r>
      <rPr>
        <b/>
        <i/>
        <sz val="10"/>
        <color indexed="23"/>
        <rFont val="Arial"/>
        <family val="2"/>
      </rPr>
      <t>bežná údržba</t>
    </r>
    <r>
      <rPr>
        <i/>
        <sz val="10"/>
        <color indexed="23"/>
        <rFont val="Arial"/>
        <family val="2"/>
      </rPr>
      <t xml:space="preserve">, ak nie do úvahy pripadajú ďalšie dve možnosti - čiže do tretieho riadku funkcie IF (ak je podmienka nepravda), vložíme ďalší IF a tu vytvoríme podmienku pre </t>
    </r>
    <r>
      <rPr>
        <b/>
        <i/>
        <sz val="10"/>
        <color indexed="23"/>
        <rFont val="Arial"/>
        <family val="2"/>
      </rPr>
      <t>generálnu prehliadku</t>
    </r>
    <r>
      <rPr>
        <i/>
        <sz val="10"/>
        <color indexed="23"/>
        <rFont val="Arial"/>
        <family val="2"/>
      </rPr>
      <t>...</t>
    </r>
  </si>
  <si>
    <t>vypracované po konzulátcii s vyuč. ÚČT :-)</t>
  </si>
  <si>
    <t>prirážka = 12 % z NC</t>
  </si>
  <si>
    <t>Spotrebná daň = (NC + prirážka) * 23%</t>
  </si>
  <si>
    <t>predajná cena = s ROUND zaokrúhlená na celé Sk (NC+prirážka+spotr.daň)</t>
  </si>
  <si>
    <t>Príjmy = predajná cena * počet predaných áut</t>
  </si>
  <si>
    <t>Výdavky = (nákupná cena + spotr. daň) * počet predaných áut</t>
  </si>
  <si>
    <t>Zisk = príjmy - výdavky</t>
  </si>
  <si>
    <t>Náklady na činnosť - podľa zadania v riadku 14 s IF (ak je zisk &lt;1 000 000, náklady vyrátame ak zisk * 55%, inak zisk * 42%)</t>
  </si>
  <si>
    <t>čistý zisk = zisk - náklady na činnosť</t>
  </si>
  <si>
    <t>Ďaň zo zisku - zadanie hore = IF (ak je čistý zisk &lt;200 000, tak daň vypočítame, ak čistý zisk *15%, inak (3. riadok nepravda) ďalší IF (ak je čistý zisk &lt; 500 000, tak čistý zisk * 20%, inak čistý zisk * 25%)</t>
  </si>
  <si>
    <t>Čistý zdanený zisk = čistý zisk - daň</t>
  </si>
  <si>
    <t>cena obstarania = nákupná cena, aj spotrebná daň</t>
  </si>
  <si>
    <t>Prémia = IF (dve podmienky, z ktorých aspoň jedna musí byť splnená, čiže OR)</t>
  </si>
  <si>
    <t>SUM</t>
  </si>
  <si>
    <t>hodnota z AVERAGE zaokrúhlená pomocou ROUNDUP (argument 0 = celé čísla)</t>
  </si>
  <si>
    <t>IF ( údaj za rok 2001 &gt; ako údaj 1991, tak vzrástlo, inak pokleslo)</t>
  </si>
  <si>
    <t>podmienené formátovanie</t>
  </si>
  <si>
    <t>viď obrázok (diagram) dole - začiatok 1. funkcia IF (žltá bunka) - vetva ÁNO sa vkladá do druhého riadku IF = PRAVDA, vetva nie do tretieho riadku = NEPRAVDA. Kosoštvorce sú ďalšie funkcie IF.</t>
  </si>
  <si>
    <t>len pre kontrolu vypočítaný prírastok/pokles</t>
  </si>
  <si>
    <t xml:space="preserve">Ak rástlo a tento rast bol väčší ako 90 000 obyvateľov napíšte do bunky vysoký prírastok, ak tento rast bol menší ako 90 000 </t>
  </si>
  <si>
    <t xml:space="preserve">obyvateľov napíšte do bunky mierny prírastok. 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</si>
</sst>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Sk&quot;_-;\-* #,##0.00\ &quot;Sk&quot;_-;_-* &quot;-&quot;??\ &quot;Sk&quot;_-;_-@_-"/>
    <numFmt numFmtId="173" formatCode="#,##0_-[$ট-44D]"/>
    <numFmt numFmtId="174" formatCode="#,##0\ [$Kč-405]"/>
    <numFmt numFmtId="175" formatCode="[$$-409]\ #,##0_ ;\-[$$-409]#,##0\ "/>
    <numFmt numFmtId="176" formatCode="_-* #,##0\ &quot;Sk&quot;_-;\-* #,##0\ &quot;Sk&quot;_-;_-* &quot;-&quot;??\ &quot;Sk&quot;_-;_-@_-"/>
    <numFmt numFmtId="177" formatCode="0.0%"/>
    <numFmt numFmtId="178" formatCode="0.0%&quot; p.a.&quot;"/>
    <numFmt numFmtId="179" formatCode="General_)"/>
    <numFmt numFmtId="180" formatCode="#,##0\ &quot;€&quot;"/>
    <numFmt numFmtId="181" formatCode="[$$-409]#,##0"/>
    <numFmt numFmtId="182" formatCode="#,##0\ [$€-1]"/>
    <numFmt numFmtId="183" formatCode="[$-41B]d\.\ mmmm\ yyyy"/>
    <numFmt numFmtId="184" formatCode="0.000"/>
    <numFmt numFmtId="185" formatCode="0.0000"/>
    <numFmt numFmtId="186" formatCode="0.0"/>
    <numFmt numFmtId="187" formatCode="#,##0.00\ [$USD]"/>
    <numFmt numFmtId="188" formatCode="#,##0.000\ [$USD]"/>
    <numFmt numFmtId="189" formatCode="#,##0.0000\ [$USD]"/>
    <numFmt numFmtId="190" formatCode="#,##0.0\ [$USD]"/>
    <numFmt numFmtId="191" formatCode="#,##0\ [$USD]"/>
    <numFmt numFmtId="192" formatCode="\P\r\a\vd\a;&quot;Pravda&quot;;&quot;Nepravda&quot;"/>
    <numFmt numFmtId="193" formatCode="[$€-2]\ #\ ##,000_);[Red]\([$¥€-2]\ #\ ##,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0"/>
      <name val="Courier"/>
      <family val="1"/>
    </font>
    <font>
      <b/>
      <sz val="12"/>
      <color indexed="8"/>
      <name val="Courier New"/>
      <family val="3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"/>
      <family val="2"/>
    </font>
    <font>
      <b/>
      <sz val="20"/>
      <name val="Arial CE"/>
      <family val="2"/>
    </font>
    <font>
      <b/>
      <sz val="10"/>
      <name val="AT*Toronto"/>
      <family val="0"/>
    </font>
    <font>
      <sz val="10"/>
      <name val="AT*Toronto"/>
      <family val="0"/>
    </font>
    <font>
      <i/>
      <sz val="10"/>
      <name val="Arial"/>
      <family val="2"/>
    </font>
    <font>
      <i/>
      <sz val="10"/>
      <name val="AT*Toronto"/>
      <family val="0"/>
    </font>
    <font>
      <b/>
      <u val="single"/>
      <sz val="10"/>
      <name val="Arial"/>
      <family val="2"/>
    </font>
    <font>
      <b/>
      <u val="single"/>
      <sz val="10"/>
      <name val="Arial CE"/>
      <family val="2"/>
    </font>
    <font>
      <sz val="10"/>
      <name val="Tms Rmn"/>
      <family val="0"/>
    </font>
    <font>
      <b/>
      <sz val="8"/>
      <name val="Tahoma"/>
      <family val="2"/>
    </font>
    <font>
      <b/>
      <i/>
      <sz val="12"/>
      <color indexed="62"/>
      <name val="Tms Rmn"/>
      <family val="0"/>
    </font>
    <font>
      <sz val="9"/>
      <name val="Arial"/>
      <family val="2"/>
    </font>
    <font>
      <b/>
      <sz val="24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Courier New"/>
      <family val="3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Courier New"/>
      <family val="3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2"/>
    </font>
    <font>
      <sz val="8"/>
      <color theme="0" tint="-0.24997000396251678"/>
      <name val="Arial"/>
      <family val="2"/>
    </font>
    <font>
      <sz val="7"/>
      <color theme="0" tint="-0.24997000396251678"/>
      <name val="Arial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1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lightGrid">
        <fgColor theme="0" tint="-0.149959996342659"/>
      </patternFill>
    </fill>
    <fill>
      <patternFill patternType="lightHorizontal">
        <fgColor theme="0" tint="-0.14995999634265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BB4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179" fontId="13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23" borderId="5">
      <alignment horizontal="center" vertical="center" textRotation="90" wrapText="1"/>
      <protection/>
    </xf>
    <xf numFmtId="0" fontId="1" fillId="24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5" borderId="9" applyNumberFormat="0" applyAlignment="0" applyProtection="0"/>
    <xf numFmtId="0" fontId="77" fillId="26" borderId="9" applyNumberFormat="0" applyAlignment="0" applyProtection="0"/>
    <xf numFmtId="0" fontId="78" fillId="26" borderId="10" applyNumberFormat="0" applyAlignment="0" applyProtection="0"/>
    <xf numFmtId="0" fontId="79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1" fillId="0" borderId="0" xfId="0" applyFont="1" applyAlignment="1">
      <alignment/>
    </xf>
    <xf numFmtId="0" fontId="82" fillId="34" borderId="0" xfId="0" applyFont="1" applyFill="1" applyBorder="1" applyAlignment="1">
      <alignment horizontal="center" vertical="center"/>
    </xf>
    <xf numFmtId="1" fontId="81" fillId="0" borderId="0" xfId="0" applyNumberFormat="1" applyFont="1" applyAlignment="1">
      <alignment horizontal="center" vertical="center"/>
    </xf>
    <xf numFmtId="1" fontId="81" fillId="35" borderId="0" xfId="0" applyNumberFormat="1" applyFont="1" applyFill="1" applyBorder="1" applyAlignment="1">
      <alignment horizontal="center" vertical="center"/>
    </xf>
    <xf numFmtId="1" fontId="81" fillId="36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textRotation="90"/>
    </xf>
    <xf numFmtId="170" fontId="4" fillId="37" borderId="0" xfId="38" applyFont="1" applyFill="1" applyAlignment="1">
      <alignment horizontal="center" vertical="center" textRotation="90"/>
    </xf>
    <xf numFmtId="0" fontId="82" fillId="38" borderId="0" xfId="0" applyFont="1" applyFill="1" applyAlignment="1">
      <alignment horizontal="center" vertical="center"/>
    </xf>
    <xf numFmtId="0" fontId="81" fillId="39" borderId="11" xfId="0" applyFont="1" applyFill="1" applyBorder="1" applyAlignment="1">
      <alignment/>
    </xf>
    <xf numFmtId="173" fontId="83" fillId="40" borderId="0" xfId="0" applyNumberFormat="1" applyFont="1" applyFill="1" applyAlignment="1">
      <alignment vertical="center"/>
    </xf>
    <xf numFmtId="1" fontId="81" fillId="35" borderId="12" xfId="0" applyNumberFormat="1" applyFont="1" applyFill="1" applyBorder="1" applyAlignment="1">
      <alignment horizontal="center" vertical="center"/>
    </xf>
    <xf numFmtId="1" fontId="81" fillId="36" borderId="13" xfId="0" applyNumberFormat="1" applyFont="1" applyFill="1" applyBorder="1" applyAlignment="1">
      <alignment horizontal="center" vertical="center"/>
    </xf>
    <xf numFmtId="1" fontId="81" fillId="35" borderId="13" xfId="0" applyNumberFormat="1" applyFont="1" applyFill="1" applyBorder="1" applyAlignment="1">
      <alignment horizontal="center" vertical="center"/>
    </xf>
    <xf numFmtId="1" fontId="81" fillId="35" borderId="14" xfId="0" applyNumberFormat="1" applyFont="1" applyFill="1" applyBorder="1" applyAlignment="1">
      <alignment horizontal="center" vertical="center"/>
    </xf>
    <xf numFmtId="1" fontId="81" fillId="35" borderId="15" xfId="0" applyNumberFormat="1" applyFont="1" applyFill="1" applyBorder="1" applyAlignment="1">
      <alignment horizontal="center" vertical="center"/>
    </xf>
    <xf numFmtId="1" fontId="81" fillId="35" borderId="16" xfId="0" applyNumberFormat="1" applyFont="1" applyFill="1" applyBorder="1" applyAlignment="1">
      <alignment horizontal="center" vertical="center"/>
    </xf>
    <xf numFmtId="1" fontId="81" fillId="35" borderId="17" xfId="0" applyNumberFormat="1" applyFont="1" applyFill="1" applyBorder="1" applyAlignment="1">
      <alignment horizontal="center" vertical="center"/>
    </xf>
    <xf numFmtId="1" fontId="81" fillId="36" borderId="18" xfId="0" applyNumberFormat="1" applyFont="1" applyFill="1" applyBorder="1" applyAlignment="1">
      <alignment horizontal="center" vertical="center"/>
    </xf>
    <xf numFmtId="1" fontId="81" fillId="35" borderId="18" xfId="0" applyNumberFormat="1" applyFont="1" applyFill="1" applyBorder="1" applyAlignment="1">
      <alignment horizontal="center" vertical="center"/>
    </xf>
    <xf numFmtId="1" fontId="81" fillId="35" borderId="19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41" borderId="0" xfId="0" applyFont="1" applyFill="1" applyBorder="1" applyAlignment="1">
      <alignment horizontal="center" vertical="center"/>
    </xf>
    <xf numFmtId="0" fontId="85" fillId="37" borderId="0" xfId="0" applyFont="1" applyFill="1" applyBorder="1" applyAlignment="1">
      <alignment horizontal="center" vertical="center"/>
    </xf>
    <xf numFmtId="0" fontId="85" fillId="10" borderId="0" xfId="0" applyFont="1" applyFill="1" applyBorder="1" applyAlignment="1">
      <alignment horizontal="center" vertical="center"/>
    </xf>
    <xf numFmtId="1" fontId="5" fillId="41" borderId="0" xfId="0" applyNumberFormat="1" applyFont="1" applyFill="1" applyBorder="1" applyAlignment="1">
      <alignment horizontal="center" vertical="center"/>
    </xf>
    <xf numFmtId="1" fontId="5" fillId="37" borderId="0" xfId="0" applyNumberFormat="1" applyFont="1" applyFill="1" applyBorder="1" applyAlignment="1">
      <alignment horizontal="center" vertical="center"/>
    </xf>
    <xf numFmtId="0" fontId="82" fillId="42" borderId="0" xfId="0" applyFont="1" applyFill="1" applyBorder="1" applyAlignment="1">
      <alignment horizontal="center" vertical="center"/>
    </xf>
    <xf numFmtId="1" fontId="81" fillId="43" borderId="20" xfId="0" applyNumberFormat="1" applyFont="1" applyFill="1" applyBorder="1" applyAlignment="1">
      <alignment horizontal="center" vertical="center"/>
    </xf>
    <xf numFmtId="1" fontId="81" fillId="43" borderId="0" xfId="0" applyNumberFormat="1" applyFont="1" applyFill="1" applyBorder="1" applyAlignment="1">
      <alignment horizontal="center" vertical="center"/>
    </xf>
    <xf numFmtId="1" fontId="81" fillId="43" borderId="21" xfId="0" applyNumberFormat="1" applyFont="1" applyFill="1" applyBorder="1" applyAlignment="1">
      <alignment horizontal="center" vertical="center"/>
    </xf>
    <xf numFmtId="1" fontId="81" fillId="43" borderId="22" xfId="0" applyNumberFormat="1" applyFont="1" applyFill="1" applyBorder="1" applyAlignment="1">
      <alignment horizontal="center" vertical="center"/>
    </xf>
    <xf numFmtId="1" fontId="81" fillId="43" borderId="23" xfId="0" applyNumberFormat="1" applyFont="1" applyFill="1" applyBorder="1" applyAlignment="1">
      <alignment horizontal="center" vertical="center"/>
    </xf>
    <xf numFmtId="1" fontId="81" fillId="43" borderId="24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1" fontId="5" fillId="44" borderId="0" xfId="0" applyNumberFormat="1" applyFont="1" applyFill="1" applyBorder="1" applyAlignment="1">
      <alignment horizontal="center" vertical="center"/>
    </xf>
    <xf numFmtId="1" fontId="5" fillId="40" borderId="0" xfId="0" applyNumberFormat="1" applyFont="1" applyFill="1" applyBorder="1" applyAlignment="1">
      <alignment horizontal="center" vertical="center"/>
    </xf>
    <xf numFmtId="1" fontId="5" fillId="45" borderId="0" xfId="0" applyNumberFormat="1" applyFont="1" applyFill="1" applyBorder="1" applyAlignment="1">
      <alignment horizontal="center" vertical="center"/>
    </xf>
    <xf numFmtId="0" fontId="85" fillId="45" borderId="0" xfId="0" applyFont="1" applyFill="1" applyBorder="1" applyAlignment="1">
      <alignment horizontal="center" vertical="center"/>
    </xf>
    <xf numFmtId="0" fontId="85" fillId="44" borderId="0" xfId="0" applyFont="1" applyFill="1" applyBorder="1" applyAlignment="1">
      <alignment horizontal="center" vertical="center"/>
    </xf>
    <xf numFmtId="0" fontId="85" fillId="40" borderId="0" xfId="0" applyFont="1" applyFill="1" applyBorder="1" applyAlignment="1">
      <alignment horizontal="center" vertical="center"/>
    </xf>
    <xf numFmtId="174" fontId="87" fillId="38" borderId="25" xfId="0" applyNumberFormat="1" applyFont="1" applyFill="1" applyBorder="1" applyAlignment="1">
      <alignment horizontal="center" vertical="center" textRotation="45"/>
    </xf>
    <xf numFmtId="0" fontId="86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0" fontId="8" fillId="37" borderId="0" xfId="38" applyFont="1" applyFill="1" applyAlignment="1">
      <alignment/>
    </xf>
    <xf numFmtId="0" fontId="8" fillId="0" borderId="0" xfId="0" applyFont="1" applyAlignment="1">
      <alignment horizontal="center" vertical="center" wrapText="1"/>
    </xf>
    <xf numFmtId="3" fontId="86" fillId="0" borderId="0" xfId="0" applyNumberFormat="1" applyFont="1" applyAlignment="1">
      <alignment/>
    </xf>
    <xf numFmtId="0" fontId="86" fillId="45" borderId="11" xfId="0" applyFont="1" applyFill="1" applyBorder="1" applyAlignment="1">
      <alignment horizontal="center" vertical="center"/>
    </xf>
    <xf numFmtId="0" fontId="88" fillId="46" borderId="26" xfId="0" applyFont="1" applyFill="1" applyBorder="1" applyAlignment="1">
      <alignment horizontal="center" vertical="center"/>
    </xf>
    <xf numFmtId="1" fontId="81" fillId="43" borderId="27" xfId="0" applyNumberFormat="1" applyFont="1" applyFill="1" applyBorder="1" applyAlignment="1">
      <alignment horizontal="center" vertical="center"/>
    </xf>
    <xf numFmtId="1" fontId="81" fillId="43" borderId="28" xfId="0" applyNumberFormat="1" applyFont="1" applyFill="1" applyBorder="1" applyAlignment="1">
      <alignment horizontal="center" vertical="center"/>
    </xf>
    <xf numFmtId="1" fontId="81" fillId="43" borderId="29" xfId="0" applyNumberFormat="1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wrapText="1"/>
    </xf>
    <xf numFmtId="2" fontId="89" fillId="47" borderId="11" xfId="38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/>
    </xf>
    <xf numFmtId="2" fontId="14" fillId="17" borderId="11" xfId="0" applyNumberFormat="1" applyFont="1" applyFill="1" applyBorder="1" applyAlignment="1">
      <alignment horizontal="center" vertical="center"/>
    </xf>
    <xf numFmtId="175" fontId="90" fillId="48" borderId="0" xfId="38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6" fillId="0" borderId="30" xfId="0" applyFont="1" applyBorder="1" applyAlignment="1">
      <alignment/>
    </xf>
    <xf numFmtId="0" fontId="86" fillId="0" borderId="30" xfId="0" applyFont="1" applyBorder="1" applyAlignment="1">
      <alignment horizontal="center"/>
    </xf>
    <xf numFmtId="0" fontId="5" fillId="0" borderId="0" xfId="0" applyFont="1" applyAlignment="1">
      <alignment/>
    </xf>
    <xf numFmtId="0" fontId="81" fillId="49" borderId="31" xfId="0" applyFont="1" applyFill="1" applyBorder="1" applyAlignment="1">
      <alignment horizontal="center" vertical="center"/>
    </xf>
    <xf numFmtId="0" fontId="81" fillId="49" borderId="32" xfId="0" applyFont="1" applyFill="1" applyBorder="1" applyAlignment="1">
      <alignment horizontal="center" vertical="center"/>
    </xf>
    <xf numFmtId="0" fontId="81" fillId="49" borderId="32" xfId="0" applyFont="1" applyFill="1" applyBorder="1" applyAlignment="1">
      <alignment horizontal="center" vertical="center" wrapText="1"/>
    </xf>
    <xf numFmtId="0" fontId="81" fillId="49" borderId="33" xfId="0" applyFont="1" applyFill="1" applyBorder="1" applyAlignment="1">
      <alignment horizontal="center" vertical="center" wrapText="1"/>
    </xf>
    <xf numFmtId="0" fontId="81" fillId="49" borderId="34" xfId="0" applyFont="1" applyFill="1" applyBorder="1" applyAlignment="1">
      <alignment horizontal="center" vertical="center"/>
    </xf>
    <xf numFmtId="0" fontId="81" fillId="50" borderId="35" xfId="0" applyFont="1" applyFill="1" applyBorder="1" applyAlignment="1">
      <alignment/>
    </xf>
    <xf numFmtId="3" fontId="81" fillId="51" borderId="36" xfId="0" applyNumberFormat="1" applyFont="1" applyFill="1" applyBorder="1" applyAlignment="1">
      <alignment/>
    </xf>
    <xf numFmtId="0" fontId="81" fillId="51" borderId="36" xfId="0" applyFont="1" applyFill="1" applyBorder="1" applyAlignment="1">
      <alignment horizontal="center"/>
    </xf>
    <xf numFmtId="3" fontId="81" fillId="51" borderId="22" xfId="0" applyNumberFormat="1" applyFont="1" applyFill="1" applyBorder="1" applyAlignment="1">
      <alignment/>
    </xf>
    <xf numFmtId="9" fontId="81" fillId="51" borderId="37" xfId="0" applyNumberFormat="1" applyFont="1" applyFill="1" applyBorder="1" applyAlignment="1">
      <alignment/>
    </xf>
    <xf numFmtId="0" fontId="81" fillId="50" borderId="38" xfId="0" applyFont="1" applyFill="1" applyBorder="1" applyAlignment="1">
      <alignment/>
    </xf>
    <xf numFmtId="3" fontId="81" fillId="51" borderId="11" xfId="0" applyNumberFormat="1" applyFont="1" applyFill="1" applyBorder="1" applyAlignment="1">
      <alignment/>
    </xf>
    <xf numFmtId="0" fontId="81" fillId="51" borderId="11" xfId="0" applyFont="1" applyFill="1" applyBorder="1" applyAlignment="1">
      <alignment horizontal="center"/>
    </xf>
    <xf numFmtId="3" fontId="81" fillId="51" borderId="39" xfId="0" applyNumberFormat="1" applyFont="1" applyFill="1" applyBorder="1" applyAlignment="1">
      <alignment/>
    </xf>
    <xf numFmtId="9" fontId="81" fillId="51" borderId="40" xfId="0" applyNumberFormat="1" applyFont="1" applyFill="1" applyBorder="1" applyAlignment="1">
      <alignment/>
    </xf>
    <xf numFmtId="0" fontId="81" fillId="50" borderId="41" xfId="0" applyFont="1" applyFill="1" applyBorder="1" applyAlignment="1">
      <alignment/>
    </xf>
    <xf numFmtId="3" fontId="81" fillId="51" borderId="42" xfId="0" applyNumberFormat="1" applyFont="1" applyFill="1" applyBorder="1" applyAlignment="1">
      <alignment/>
    </xf>
    <xf numFmtId="0" fontId="81" fillId="51" borderId="42" xfId="0" applyFont="1" applyFill="1" applyBorder="1" applyAlignment="1">
      <alignment horizontal="center"/>
    </xf>
    <xf numFmtId="3" fontId="81" fillId="51" borderId="27" xfId="0" applyNumberFormat="1" applyFont="1" applyFill="1" applyBorder="1" applyAlignment="1">
      <alignment/>
    </xf>
    <xf numFmtId="9" fontId="81" fillId="51" borderId="43" xfId="0" applyNumberFormat="1" applyFont="1" applyFill="1" applyBorder="1" applyAlignment="1">
      <alignment/>
    </xf>
    <xf numFmtId="0" fontId="16" fillId="0" borderId="0" xfId="47">
      <alignment/>
      <protection/>
    </xf>
    <xf numFmtId="9" fontId="16" fillId="0" borderId="0" xfId="47" applyNumberFormat="1">
      <alignment/>
      <protection/>
    </xf>
    <xf numFmtId="0" fontId="16" fillId="0" borderId="11" xfId="47" applyBorder="1" applyAlignment="1">
      <alignment horizontal="center" vertical="top"/>
      <protection/>
    </xf>
    <xf numFmtId="0" fontId="16" fillId="0" borderId="0" xfId="47" applyAlignment="1">
      <alignment horizontal="center" vertical="center" wrapText="1"/>
      <protection/>
    </xf>
    <xf numFmtId="0" fontId="19" fillId="50" borderId="44" xfId="48" applyFont="1" applyFill="1" applyBorder="1" applyAlignment="1">
      <alignment horizontal="center" vertical="center" wrapText="1"/>
      <protection/>
    </xf>
    <xf numFmtId="0" fontId="5" fillId="0" borderId="0" xfId="48">
      <alignment/>
      <protection/>
    </xf>
    <xf numFmtId="0" fontId="19" fillId="50" borderId="45" xfId="48" applyFont="1" applyFill="1" applyBorder="1" applyAlignment="1">
      <alignment horizontal="center" vertical="center" wrapText="1"/>
      <protection/>
    </xf>
    <xf numFmtId="14" fontId="19" fillId="52" borderId="46" xfId="48" applyNumberFormat="1" applyFont="1" applyFill="1" applyBorder="1" applyAlignment="1">
      <alignment horizontal="center" vertical="center" wrapText="1"/>
      <protection/>
    </xf>
    <xf numFmtId="14" fontId="19" fillId="52" borderId="44" xfId="48" applyNumberFormat="1" applyFont="1" applyFill="1" applyBorder="1" applyAlignment="1">
      <alignment horizontal="center" vertical="center" wrapText="1"/>
      <protection/>
    </xf>
    <xf numFmtId="0" fontId="5" fillId="0" borderId="0" xfId="48" applyAlignment="1">
      <alignment/>
      <protection/>
    </xf>
    <xf numFmtId="3" fontId="20" fillId="0" borderId="0" xfId="48" applyNumberFormat="1" applyFont="1" applyBorder="1" applyAlignment="1">
      <alignment vertical="top" wrapText="1"/>
      <protection/>
    </xf>
    <xf numFmtId="0" fontId="23" fillId="0" borderId="0" xfId="48" applyFont="1">
      <alignment/>
      <protection/>
    </xf>
    <xf numFmtId="3" fontId="20" fillId="0" borderId="0" xfId="48" applyNumberFormat="1" applyFont="1" applyBorder="1" applyAlignment="1">
      <alignment vertical="top"/>
      <protection/>
    </xf>
    <xf numFmtId="3" fontId="20" fillId="0" borderId="0" xfId="48" applyNumberFormat="1" applyFont="1" applyBorder="1" applyAlignment="1">
      <alignment horizontal="left" vertical="top"/>
      <protection/>
    </xf>
    <xf numFmtId="0" fontId="20" fillId="51" borderId="45" xfId="48" applyFont="1" applyFill="1" applyBorder="1" applyAlignment="1">
      <alignment horizontal="center" vertical="center" wrapText="1"/>
      <protection/>
    </xf>
    <xf numFmtId="3" fontId="20" fillId="0" borderId="45" xfId="48" applyNumberFormat="1" applyFont="1" applyFill="1" applyBorder="1" applyAlignment="1">
      <alignment horizontal="center" vertical="center" wrapText="1"/>
      <protection/>
    </xf>
    <xf numFmtId="3" fontId="20" fillId="0" borderId="45" xfId="48" applyNumberFormat="1" applyFont="1" applyBorder="1" applyAlignment="1">
      <alignment horizontal="center" vertical="center" wrapText="1"/>
      <protection/>
    </xf>
    <xf numFmtId="0" fontId="20" fillId="0" borderId="45" xfId="48" applyFont="1" applyBorder="1" applyAlignment="1">
      <alignment horizontal="center" vertical="center" wrapText="1"/>
      <protection/>
    </xf>
    <xf numFmtId="0" fontId="20" fillId="0" borderId="44" xfId="48" applyFont="1" applyBorder="1" applyAlignment="1">
      <alignment horizontal="center" vertical="center" wrapText="1"/>
      <protection/>
    </xf>
    <xf numFmtId="3" fontId="5" fillId="0" borderId="11" xfId="48" applyNumberFormat="1" applyBorder="1" applyAlignment="1">
      <alignment horizontal="center" vertical="center"/>
      <protection/>
    </xf>
    <xf numFmtId="0" fontId="5" fillId="0" borderId="11" xfId="48" applyBorder="1" applyAlignment="1">
      <alignment horizontal="center" vertical="center"/>
      <protection/>
    </xf>
    <xf numFmtId="0" fontId="5" fillId="0" borderId="0" xfId="48" applyAlignment="1">
      <alignment horizontal="center" vertical="center"/>
      <protection/>
    </xf>
    <xf numFmtId="3" fontId="20" fillId="0" borderId="44" xfId="48" applyNumberFormat="1" applyFont="1" applyBorder="1" applyAlignment="1">
      <alignment horizontal="center" vertical="center" wrapText="1"/>
      <protection/>
    </xf>
    <xf numFmtId="0" fontId="21" fillId="0" borderId="0" xfId="48" applyFont="1" applyAlignment="1">
      <alignment horizontal="center" vertical="center"/>
      <protection/>
    </xf>
    <xf numFmtId="3" fontId="20" fillId="0" borderId="46" xfId="48" applyNumberFormat="1" applyFont="1" applyBorder="1" applyAlignment="1">
      <alignment horizontal="center" vertical="center" wrapText="1"/>
      <protection/>
    </xf>
    <xf numFmtId="3" fontId="5" fillId="0" borderId="0" xfId="48" applyNumberFormat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 wrapText="1"/>
      <protection/>
    </xf>
    <xf numFmtId="0" fontId="18" fillId="0" borderId="0" xfId="47" applyFont="1" applyAlignment="1">
      <alignment horizontal="center" vertical="center"/>
      <protection/>
    </xf>
    <xf numFmtId="0" fontId="24" fillId="0" borderId="0" xfId="47" applyFont="1">
      <alignment/>
      <protection/>
    </xf>
    <xf numFmtId="0" fontId="5" fillId="0" borderId="0" xfId="49" applyFont="1">
      <alignment/>
      <protection/>
    </xf>
    <xf numFmtId="0" fontId="5" fillId="52" borderId="0" xfId="49" applyFont="1" applyFill="1">
      <alignment/>
      <protection/>
    </xf>
    <xf numFmtId="0" fontId="5" fillId="53" borderId="0" xfId="49" applyFont="1" applyFill="1">
      <alignment/>
      <protection/>
    </xf>
    <xf numFmtId="0" fontId="5" fillId="0" borderId="0" xfId="49" applyFont="1" applyFill="1">
      <alignment/>
      <protection/>
    </xf>
    <xf numFmtId="3" fontId="5" fillId="0" borderId="0" xfId="49" applyNumberFormat="1" applyFont="1">
      <alignment/>
      <protection/>
    </xf>
    <xf numFmtId="3" fontId="5" fillId="54" borderId="0" xfId="49" applyNumberFormat="1" applyFont="1" applyFill="1">
      <alignment/>
      <protection/>
    </xf>
    <xf numFmtId="0" fontId="5" fillId="55" borderId="0" xfId="49" applyFont="1" applyFill="1" applyBorder="1">
      <alignment/>
      <protection/>
    </xf>
    <xf numFmtId="0" fontId="4" fillId="53" borderId="47" xfId="49" applyFont="1" applyFill="1" applyBorder="1" applyAlignment="1">
      <alignment horizontal="left" vertical="center"/>
      <protection/>
    </xf>
    <xf numFmtId="0" fontId="4" fillId="53" borderId="48" xfId="49" applyFont="1" applyFill="1" applyBorder="1" applyAlignment="1">
      <alignment horizontal="left" vertical="center"/>
      <protection/>
    </xf>
    <xf numFmtId="0" fontId="4" fillId="53" borderId="49" xfId="49" applyFont="1" applyFill="1" applyBorder="1" applyAlignment="1">
      <alignment horizontal="center" vertical="center"/>
      <protection/>
    </xf>
    <xf numFmtId="0" fontId="4" fillId="53" borderId="50" xfId="49" applyFont="1" applyFill="1" applyBorder="1" applyAlignment="1">
      <alignment horizontal="center" vertical="center"/>
      <protection/>
    </xf>
    <xf numFmtId="0" fontId="5" fillId="53" borderId="51" xfId="49" applyFont="1" applyFill="1" applyBorder="1">
      <alignment/>
      <protection/>
    </xf>
    <xf numFmtId="0" fontId="5" fillId="53" borderId="26" xfId="49" applyFont="1" applyFill="1" applyBorder="1">
      <alignment/>
      <protection/>
    </xf>
    <xf numFmtId="3" fontId="5" fillId="0" borderId="11" xfId="49" applyNumberFormat="1" applyFont="1" applyFill="1" applyBorder="1">
      <alignment/>
      <protection/>
    </xf>
    <xf numFmtId="0" fontId="5" fillId="53" borderId="52" xfId="49" applyFont="1" applyFill="1" applyBorder="1">
      <alignment/>
      <protection/>
    </xf>
    <xf numFmtId="0" fontId="5" fillId="53" borderId="53" xfId="49" applyFont="1" applyFill="1" applyBorder="1">
      <alignment/>
      <protection/>
    </xf>
    <xf numFmtId="3" fontId="5" fillId="0" borderId="54" xfId="49" applyNumberFormat="1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5" fillId="0" borderId="42" xfId="49" applyFont="1" applyBorder="1" applyAlignment="1">
      <alignment horizontal="center"/>
      <protection/>
    </xf>
    <xf numFmtId="0" fontId="5" fillId="53" borderId="11" xfId="49" applyFont="1" applyFill="1" applyBorder="1" applyAlignment="1">
      <alignment horizontal="left"/>
      <protection/>
    </xf>
    <xf numFmtId="0" fontId="5" fillId="0" borderId="11" xfId="49" applyFont="1" applyBorder="1">
      <alignment/>
      <protection/>
    </xf>
    <xf numFmtId="0" fontId="5" fillId="0" borderId="55" xfId="49" applyFont="1" applyBorder="1" applyAlignment="1">
      <alignment horizontal="center"/>
      <protection/>
    </xf>
    <xf numFmtId="0" fontId="5" fillId="0" borderId="18" xfId="49" applyFont="1" applyBorder="1" applyAlignment="1">
      <alignment horizontal="center"/>
      <protection/>
    </xf>
    <xf numFmtId="0" fontId="5" fillId="0" borderId="56" xfId="49" applyFont="1" applyBorder="1" applyAlignment="1">
      <alignment horizontal="center"/>
      <protection/>
    </xf>
    <xf numFmtId="178" fontId="5" fillId="0" borderId="57" xfId="49" applyNumberFormat="1" applyFont="1" applyBorder="1" applyAlignment="1">
      <alignment horizontal="center"/>
      <protection/>
    </xf>
    <xf numFmtId="0" fontId="5" fillId="53" borderId="11" xfId="49" applyFont="1" applyFill="1" applyBorder="1">
      <alignment/>
      <protection/>
    </xf>
    <xf numFmtId="178" fontId="5" fillId="0" borderId="36" xfId="49" applyNumberFormat="1" applyFont="1" applyBorder="1" applyAlignment="1">
      <alignment horizontal="center"/>
      <protection/>
    </xf>
    <xf numFmtId="0" fontId="4" fillId="0" borderId="0" xfId="49" applyFont="1" applyFill="1" applyBorder="1" applyAlignment="1">
      <alignment horizontal="center" vertical="center"/>
      <protection/>
    </xf>
    <xf numFmtId="177" fontId="28" fillId="0" borderId="0" xfId="52" applyNumberFormat="1" applyFont="1" applyFill="1" applyBorder="1" applyAlignment="1">
      <alignment/>
    </xf>
    <xf numFmtId="0" fontId="10" fillId="0" borderId="0" xfId="49" applyFont="1" applyFill="1" applyBorder="1" applyAlignment="1">
      <alignment horizontal="center" vertical="center"/>
      <protection/>
    </xf>
    <xf numFmtId="3" fontId="5" fillId="0" borderId="58" xfId="49" applyNumberFormat="1" applyFont="1" applyFill="1" applyBorder="1">
      <alignment/>
      <protection/>
    </xf>
    <xf numFmtId="3" fontId="5" fillId="0" borderId="59" xfId="49" applyNumberFormat="1" applyFont="1" applyFill="1" applyBorder="1">
      <alignment/>
      <protection/>
    </xf>
    <xf numFmtId="180" fontId="5" fillId="0" borderId="20" xfId="49" applyNumberFormat="1" applyFont="1" applyBorder="1">
      <alignment/>
      <protection/>
    </xf>
    <xf numFmtId="180" fontId="5" fillId="0" borderId="0" xfId="49" applyNumberFormat="1" applyFont="1" applyBorder="1">
      <alignment/>
      <protection/>
    </xf>
    <xf numFmtId="180" fontId="5" fillId="0" borderId="22" xfId="49" applyNumberFormat="1" applyFont="1" applyBorder="1">
      <alignment/>
      <protection/>
    </xf>
    <xf numFmtId="180" fontId="5" fillId="0" borderId="23" xfId="49" applyNumberFormat="1" applyFont="1" applyBorder="1" applyAlignment="1">
      <alignment horizontal="center"/>
      <protection/>
    </xf>
    <xf numFmtId="0" fontId="29" fillId="56" borderId="0" xfId="49" applyFont="1" applyFill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Alignment="1">
      <alignment horizontal="left" vertical="center"/>
      <protection/>
    </xf>
    <xf numFmtId="2" fontId="5" fillId="0" borderId="0" xfId="51" applyNumberFormat="1" applyFont="1" applyFill="1" applyAlignment="1">
      <alignment/>
    </xf>
    <xf numFmtId="177" fontId="5" fillId="54" borderId="11" xfId="51" applyNumberFormat="1" applyFont="1" applyFill="1" applyBorder="1" applyAlignment="1">
      <alignment/>
    </xf>
    <xf numFmtId="182" fontId="5" fillId="54" borderId="11" xfId="49" applyNumberFormat="1" applyFont="1" applyFill="1" applyBorder="1">
      <alignment/>
      <protection/>
    </xf>
    <xf numFmtId="182" fontId="5" fillId="0" borderId="0" xfId="49" applyNumberFormat="1" applyFont="1">
      <alignment/>
      <protection/>
    </xf>
    <xf numFmtId="176" fontId="16" fillId="0" borderId="0" xfId="47" applyNumberFormat="1" applyAlignment="1">
      <alignment horizontal="center" vertical="center" wrapText="1"/>
      <protection/>
    </xf>
    <xf numFmtId="1" fontId="86" fillId="0" borderId="39" xfId="38" applyNumberFormat="1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1" fontId="86" fillId="0" borderId="11" xfId="51" applyNumberFormat="1" applyFont="1" applyBorder="1" applyAlignment="1">
      <alignment horizontal="center" vertical="center"/>
    </xf>
    <xf numFmtId="1" fontId="86" fillId="6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191" fontId="5" fillId="0" borderId="0" xfId="49" applyNumberFormat="1" applyFont="1" applyFill="1">
      <alignment/>
      <protection/>
    </xf>
    <xf numFmtId="191" fontId="5" fillId="54" borderId="0" xfId="51" applyNumberFormat="1" applyFont="1" applyFill="1" applyAlignment="1">
      <alignment/>
    </xf>
    <xf numFmtId="181" fontId="92" fillId="0" borderId="0" xfId="38" applyNumberFormat="1" applyFont="1" applyFill="1" applyAlignment="1">
      <alignment/>
    </xf>
    <xf numFmtId="3" fontId="93" fillId="0" borderId="0" xfId="49" applyNumberFormat="1" applyFont="1">
      <alignment/>
      <protection/>
    </xf>
    <xf numFmtId="178" fontId="5" fillId="0" borderId="11" xfId="49" applyNumberFormat="1" applyFont="1" applyBorder="1" applyAlignment="1">
      <alignment horizontal="center"/>
      <protection/>
    </xf>
    <xf numFmtId="0" fontId="94" fillId="0" borderId="0" xfId="49" applyFont="1">
      <alignment/>
      <protection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2" fontId="81" fillId="51" borderId="36" xfId="0" applyNumberFormat="1" applyFont="1" applyFill="1" applyBorder="1" applyAlignment="1">
      <alignment/>
    </xf>
    <xf numFmtId="2" fontId="81" fillId="51" borderId="11" xfId="0" applyNumberFormat="1" applyFont="1" applyFill="1" applyBorder="1" applyAlignment="1">
      <alignment/>
    </xf>
    <xf numFmtId="2" fontId="81" fillId="51" borderId="42" xfId="0" applyNumberFormat="1" applyFont="1" applyFill="1" applyBorder="1" applyAlignment="1">
      <alignment/>
    </xf>
    <xf numFmtId="9" fontId="81" fillId="51" borderId="22" xfId="51" applyFont="1" applyFill="1" applyBorder="1" applyAlignment="1">
      <alignment horizontal="center"/>
    </xf>
    <xf numFmtId="9" fontId="81" fillId="51" borderId="39" xfId="51" applyFont="1" applyFill="1" applyBorder="1" applyAlignment="1">
      <alignment horizontal="center"/>
    </xf>
    <xf numFmtId="9" fontId="81" fillId="51" borderId="27" xfId="51" applyFont="1" applyFill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5" fillId="0" borderId="11" xfId="47" applyFont="1" applyBorder="1" applyAlignment="1">
      <alignment horizontal="center" vertical="center" wrapText="1"/>
      <protection/>
    </xf>
    <xf numFmtId="176" fontId="5" fillId="57" borderId="11" xfId="47" applyNumberFormat="1" applyFont="1" applyFill="1" applyBorder="1" applyAlignment="1">
      <alignment horizontal="center" vertical="center" wrapText="1"/>
      <protection/>
    </xf>
    <xf numFmtId="176" fontId="5" fillId="58" borderId="11" xfId="47" applyNumberFormat="1" applyFont="1" applyFill="1" applyBorder="1" applyAlignment="1">
      <alignment horizontal="center" vertical="center" wrapText="1"/>
      <protection/>
    </xf>
    <xf numFmtId="176" fontId="5" fillId="0" borderId="11" xfId="47" applyNumberFormat="1" applyFont="1" applyBorder="1" applyAlignment="1">
      <alignment horizontal="center" vertical="center" wrapText="1"/>
      <protection/>
    </xf>
    <xf numFmtId="0" fontId="5" fillId="0" borderId="0" xfId="47" applyFont="1">
      <alignment/>
      <protection/>
    </xf>
    <xf numFmtId="176" fontId="5" fillId="50" borderId="11" xfId="47" applyNumberFormat="1" applyFont="1" applyFill="1" applyBorder="1" applyAlignment="1">
      <alignment horizontal="center"/>
      <protection/>
    </xf>
    <xf numFmtId="1" fontId="5" fillId="50" borderId="11" xfId="47" applyNumberFormat="1" applyFont="1" applyFill="1" applyBorder="1" applyAlignment="1">
      <alignment horizontal="center"/>
      <protection/>
    </xf>
    <xf numFmtId="176" fontId="81" fillId="0" borderId="11" xfId="40" applyNumberFormat="1" applyFont="1" applyBorder="1" applyAlignment="1">
      <alignment/>
    </xf>
    <xf numFmtId="172" fontId="81" fillId="0" borderId="11" xfId="40" applyNumberFormat="1" applyFont="1" applyBorder="1" applyAlignment="1">
      <alignment horizontal="center" vertical="center" wrapText="1"/>
    </xf>
    <xf numFmtId="172" fontId="81" fillId="0" borderId="11" xfId="40" applyFont="1" applyBorder="1" applyAlignment="1">
      <alignment horizontal="center" vertical="center" wrapText="1"/>
    </xf>
    <xf numFmtId="176" fontId="81" fillId="0" borderId="11" xfId="40" applyNumberFormat="1" applyFont="1" applyBorder="1" applyAlignment="1">
      <alignment horizontal="center" vertical="center" wrapText="1"/>
    </xf>
    <xf numFmtId="176" fontId="81" fillId="59" borderId="11" xfId="40" applyNumberFormat="1" applyFont="1" applyFill="1" applyBorder="1" applyAlignment="1">
      <alignment horizontal="center" vertical="center" wrapText="1"/>
    </xf>
    <xf numFmtId="170" fontId="81" fillId="0" borderId="11" xfId="38" applyFont="1" applyBorder="1" applyAlignment="1">
      <alignment horizontal="center" vertical="center" wrapText="1"/>
    </xf>
    <xf numFmtId="0" fontId="96" fillId="0" borderId="0" xfId="47" applyFont="1">
      <alignment/>
      <protection/>
    </xf>
    <xf numFmtId="0" fontId="21" fillId="0" borderId="0" xfId="48" applyFont="1">
      <alignment/>
      <protection/>
    </xf>
    <xf numFmtId="0" fontId="88" fillId="0" borderId="0" xfId="0" applyFont="1" applyAlignment="1">
      <alignment horizontal="center" vertical="center"/>
    </xf>
    <xf numFmtId="0" fontId="5" fillId="0" borderId="60" xfId="49" applyFont="1" applyBorder="1" applyAlignment="1">
      <alignment horizontal="center"/>
      <protection/>
    </xf>
    <xf numFmtId="0" fontId="5" fillId="0" borderId="61" xfId="49" applyFont="1" applyBorder="1" applyAlignment="1">
      <alignment horizontal="center"/>
      <protection/>
    </xf>
    <xf numFmtId="0" fontId="5" fillId="0" borderId="62" xfId="49" applyFont="1" applyBorder="1" applyAlignment="1">
      <alignment horizontal="center"/>
      <protection/>
    </xf>
    <xf numFmtId="0" fontId="5" fillId="0" borderId="27" xfId="49" applyFont="1" applyBorder="1" applyAlignment="1">
      <alignment horizontal="center"/>
      <protection/>
    </xf>
    <xf numFmtId="0" fontId="5" fillId="0" borderId="28" xfId="49" applyFont="1" applyBorder="1" applyAlignment="1">
      <alignment horizontal="center"/>
      <protection/>
    </xf>
    <xf numFmtId="0" fontId="28" fillId="54" borderId="15" xfId="49" applyFont="1" applyFill="1" applyBorder="1" applyAlignment="1">
      <alignment horizontal="center"/>
      <protection/>
    </xf>
    <xf numFmtId="0" fontId="28" fillId="54" borderId="0" xfId="49" applyFont="1" applyFill="1" applyBorder="1" applyAlignment="1">
      <alignment horizontal="center"/>
      <protection/>
    </xf>
    <xf numFmtId="0" fontId="5" fillId="52" borderId="0" xfId="49" applyFont="1" applyFill="1" applyAlignment="1">
      <alignment horizontal="center" vertical="center"/>
      <protection/>
    </xf>
    <xf numFmtId="0" fontId="17" fillId="0" borderId="63" xfId="0" applyFont="1" applyBorder="1" applyAlignment="1">
      <alignment horizontal="center" vertical="center"/>
    </xf>
    <xf numFmtId="0" fontId="9" fillId="50" borderId="42" xfId="48" applyFont="1" applyFill="1" applyBorder="1" applyAlignment="1">
      <alignment horizontal="center" vertical="center" wrapText="1"/>
      <protection/>
    </xf>
    <xf numFmtId="0" fontId="9" fillId="50" borderId="36" xfId="48" applyFont="1" applyFill="1" applyBorder="1" applyAlignment="1">
      <alignment horizontal="center" vertical="center" wrapText="1"/>
      <protection/>
    </xf>
    <xf numFmtId="0" fontId="19" fillId="52" borderId="27" xfId="48" applyFont="1" applyFill="1" applyBorder="1" applyAlignment="1">
      <alignment horizontal="center" vertical="center" wrapText="1"/>
      <protection/>
    </xf>
    <xf numFmtId="0" fontId="19" fillId="52" borderId="29" xfId="48" applyFont="1" applyFill="1" applyBorder="1" applyAlignment="1">
      <alignment horizontal="center" vertical="center" wrapText="1"/>
      <protection/>
    </xf>
    <xf numFmtId="0" fontId="19" fillId="52" borderId="22" xfId="48" applyFont="1" applyFill="1" applyBorder="1" applyAlignment="1">
      <alignment horizontal="center" vertical="center" wrapText="1"/>
      <protection/>
    </xf>
    <xf numFmtId="0" fontId="19" fillId="52" borderId="24" xfId="48" applyFont="1" applyFill="1" applyBorder="1" applyAlignment="1">
      <alignment horizontal="center" vertical="center" wrapText="1"/>
      <protection/>
    </xf>
    <xf numFmtId="0" fontId="19" fillId="52" borderId="64" xfId="48" applyFont="1" applyFill="1" applyBorder="1" applyAlignment="1">
      <alignment horizontal="center" vertical="center" wrapText="1"/>
      <protection/>
    </xf>
    <xf numFmtId="0" fontId="19" fillId="52" borderId="65" xfId="48" applyFont="1" applyFill="1" applyBorder="1" applyAlignment="1">
      <alignment horizontal="center" vertical="center" wrapText="1"/>
      <protection/>
    </xf>
    <xf numFmtId="0" fontId="19" fillId="52" borderId="42" xfId="48" applyFont="1" applyFill="1" applyBorder="1" applyAlignment="1">
      <alignment horizontal="center" vertical="center" wrapText="1"/>
      <protection/>
    </xf>
    <xf numFmtId="0" fontId="19" fillId="52" borderId="36" xfId="48" applyFont="1" applyFill="1" applyBorder="1" applyAlignment="1">
      <alignment horizontal="center" vertical="center" wrapText="1"/>
      <protection/>
    </xf>
    <xf numFmtId="0" fontId="19" fillId="52" borderId="27" xfId="48" applyFont="1" applyFill="1" applyBorder="1" applyAlignment="1">
      <alignment horizontal="center" vertical="center" wrapText="1"/>
      <protection/>
    </xf>
    <xf numFmtId="0" fontId="19" fillId="52" borderId="29" xfId="48" applyFont="1" applyFill="1" applyBorder="1" applyAlignment="1">
      <alignment horizontal="center" vertical="center" wrapText="1"/>
      <protection/>
    </xf>
    <xf numFmtId="0" fontId="19" fillId="52" borderId="22" xfId="48" applyFont="1" applyFill="1" applyBorder="1" applyAlignment="1">
      <alignment horizontal="center" vertical="center" wrapText="1"/>
      <protection/>
    </xf>
    <xf numFmtId="0" fontId="19" fillId="52" borderId="24" xfId="48" applyFont="1" applyFill="1" applyBorder="1" applyAlignment="1">
      <alignment horizontal="center" vertical="center" wrapText="1"/>
      <protection/>
    </xf>
    <xf numFmtId="0" fontId="5" fillId="0" borderId="39" xfId="48" applyBorder="1" applyAlignment="1">
      <alignment horizontal="center" vertical="center"/>
      <protection/>
    </xf>
    <xf numFmtId="0" fontId="5" fillId="0" borderId="26" xfId="48" applyBorder="1" applyAlignment="1">
      <alignment horizontal="center" vertical="center"/>
      <protection/>
    </xf>
    <xf numFmtId="0" fontId="19" fillId="50" borderId="66" xfId="48" applyFont="1" applyFill="1" applyBorder="1" applyAlignment="1">
      <alignment horizontal="center" vertical="center" wrapText="1"/>
      <protection/>
    </xf>
    <xf numFmtId="0" fontId="19" fillId="50" borderId="67" xfId="48" applyFont="1" applyFill="1" applyBorder="1" applyAlignment="1">
      <alignment horizontal="center" vertical="center" wrapText="1"/>
      <protection/>
    </xf>
    <xf numFmtId="0" fontId="19" fillId="50" borderId="44" xfId="48" applyFont="1" applyFill="1" applyBorder="1" applyAlignment="1">
      <alignment horizontal="center" vertical="center" wrapText="1"/>
      <protection/>
    </xf>
    <xf numFmtId="0" fontId="19" fillId="50" borderId="68" xfId="48" applyFont="1" applyFill="1" applyBorder="1" applyAlignment="1">
      <alignment horizontal="center" vertical="center" wrapText="1"/>
      <protection/>
    </xf>
    <xf numFmtId="0" fontId="19" fillId="50" borderId="69" xfId="48" applyFont="1" applyFill="1" applyBorder="1" applyAlignment="1">
      <alignment horizontal="center" vertical="center" wrapText="1"/>
      <protection/>
    </xf>
    <xf numFmtId="0" fontId="19" fillId="50" borderId="39" xfId="48" applyFont="1" applyFill="1" applyBorder="1" applyAlignment="1">
      <alignment horizontal="center" vertical="center" wrapText="1"/>
      <protection/>
    </xf>
    <xf numFmtId="0" fontId="19" fillId="50" borderId="26" xfId="4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left" vertical="top" wrapText="1"/>
    </xf>
    <xf numFmtId="3" fontId="97" fillId="0" borderId="0" xfId="48" applyNumberFormat="1" applyFont="1" applyAlignment="1">
      <alignment horizontal="center" vertical="center"/>
      <protection/>
    </xf>
    <xf numFmtId="0" fontId="98" fillId="0" borderId="20" xfId="48" applyFont="1" applyBorder="1" applyAlignment="1">
      <alignment horizontal="center" vertical="center" wrapText="1"/>
      <protection/>
    </xf>
    <xf numFmtId="0" fontId="92" fillId="0" borderId="0" xfId="0" applyFont="1" applyAlignment="1">
      <alignment vertical="top" wrapText="1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y 2" xfId="40"/>
    <cellStyle name="Nadpis 1" xfId="41"/>
    <cellStyle name="Nadpis 2" xfId="42"/>
    <cellStyle name="Nadpis 3" xfId="43"/>
    <cellStyle name="Nadpis 4" xfId="44"/>
    <cellStyle name="Neutrálna" xfId="45"/>
    <cellStyle name="Normal_CENNIK_C" xfId="46"/>
    <cellStyle name="normálne 2" xfId="47"/>
    <cellStyle name="normálne 3" xfId="48"/>
    <cellStyle name="normálne 4" xfId="49"/>
    <cellStyle name="normální_vzorce6" xfId="50"/>
    <cellStyle name="Percent" xfId="51"/>
    <cellStyle name="percentá 2" xfId="52"/>
    <cellStyle name="pobočka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-0.24993999302387238"/>
        </patternFill>
      </fill>
    </dxf>
    <dxf>
      <font>
        <color indexed="9"/>
      </font>
    </dxf>
    <dxf>
      <font>
        <color rgb="FFFF0000"/>
      </font>
    </dxf>
    <dxf>
      <font>
        <color rgb="FF00B0F0"/>
      </font>
    </dxf>
    <dxf>
      <font>
        <color rgb="FF008000"/>
      </font>
    </dxf>
    <dxf>
      <font>
        <color rgb="FFFF0000"/>
      </font>
    </dxf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color rgb="FF00B0F0"/>
      </font>
      <border/>
    </dxf>
    <dxf>
      <font>
        <color rgb="FF008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1</xdr:row>
      <xdr:rowOff>47625</xdr:rowOff>
    </xdr:from>
    <xdr:to>
      <xdr:col>11</xdr:col>
      <xdr:colOff>209550</xdr:colOff>
      <xdr:row>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683" t="10316" r="17460" b="9921"/>
        <a:stretch>
          <a:fillRect/>
        </a:stretch>
      </xdr:blipFill>
      <xdr:spPr>
        <a:xfrm>
          <a:off x="7324725" y="228600"/>
          <a:ext cx="1343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276225</xdr:rowOff>
    </xdr:from>
    <xdr:to>
      <xdr:col>1</xdr:col>
      <xdr:colOff>723900</xdr:colOff>
      <xdr:row>23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4000500"/>
          <a:ext cx="9906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30</xdr:row>
      <xdr:rowOff>9525</xdr:rowOff>
    </xdr:from>
    <xdr:to>
      <xdr:col>22</xdr:col>
      <xdr:colOff>581025</xdr:colOff>
      <xdr:row>46</xdr:row>
      <xdr:rowOff>85725</xdr:rowOff>
    </xdr:to>
    <xdr:pic>
      <xdr:nvPicPr>
        <xdr:cNvPr id="1" name="Obrázok 1" descr="https://documents.lucidchart.com/documents/b3bf59b3-11cb-442a-abb2-289a9ed52373/pages/YGcM5DNywbTK?a=720&amp;x=125&amp;y=220&amp;w=1209&amp;h=466&amp;store=1&amp;accept=image%2F*&amp;auth=LCA%20944ba0850e1cfd6941732ff5bd51fd86b09804fe-ts%3D148615937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00" y="5915025"/>
          <a:ext cx="69246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%20-%20zamest\pr&#237;pravy\3.%20ro&#269;\Excel-zbierka%20&#250;l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Dokumenty\Zbierka%20&#250;loh%20z%20MS%20Excelu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Databáza"/>
      <sheetName val="Prázdny hár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Databáza"/>
      <sheetName val="Prázdny hárok"/>
    </sheetNames>
    <sheetDataSet>
      <sheetData sheetId="7">
        <row r="23">
          <cell r="B23" t="str">
            <v>Banská Bystrica</v>
          </cell>
          <cell r="C23" t="str">
            <v>BB</v>
          </cell>
          <cell r="D23">
            <v>88</v>
          </cell>
        </row>
        <row r="24">
          <cell r="B24" t="str">
            <v>Banská Štiavnica</v>
          </cell>
          <cell r="C24" t="str">
            <v>BS</v>
          </cell>
          <cell r="D24">
            <v>859</v>
          </cell>
        </row>
        <row r="25">
          <cell r="B25" t="str">
            <v>Brezno</v>
          </cell>
          <cell r="C25" t="str">
            <v>BR</v>
          </cell>
          <cell r="D25">
            <v>867</v>
          </cell>
        </row>
        <row r="26">
          <cell r="B26" t="str">
            <v>Detva</v>
          </cell>
          <cell r="C26" t="str">
            <v>DT</v>
          </cell>
          <cell r="D26" t="str">
            <v>-</v>
          </cell>
        </row>
        <row r="27">
          <cell r="B27" t="str">
            <v>Krupina</v>
          </cell>
          <cell r="C27" t="str">
            <v>KA</v>
          </cell>
          <cell r="D27">
            <v>856</v>
          </cell>
        </row>
        <row r="28">
          <cell r="B28" t="str">
            <v>Lučenec</v>
          </cell>
          <cell r="C28" t="str">
            <v>LC</v>
          </cell>
          <cell r="D28">
            <v>863</v>
          </cell>
        </row>
        <row r="29">
          <cell r="B29" t="str">
            <v>Poltár</v>
          </cell>
          <cell r="C29" t="str">
            <v>PT</v>
          </cell>
          <cell r="D29">
            <v>864</v>
          </cell>
        </row>
        <row r="30">
          <cell r="B30" t="str">
            <v>Revúca</v>
          </cell>
          <cell r="C30" t="str">
            <v>RA</v>
          </cell>
          <cell r="D30">
            <v>941</v>
          </cell>
        </row>
        <row r="31">
          <cell r="B31" t="str">
            <v>Rimavská Sobota</v>
          </cell>
          <cell r="C31" t="str">
            <v>RS</v>
          </cell>
          <cell r="D31">
            <v>866</v>
          </cell>
        </row>
        <row r="32">
          <cell r="B32" t="str">
            <v>Veľký Krtíš</v>
          </cell>
          <cell r="C32" t="str">
            <v>VK</v>
          </cell>
          <cell r="D32">
            <v>854</v>
          </cell>
        </row>
        <row r="33">
          <cell r="B33" t="str">
            <v>Zvolen</v>
          </cell>
          <cell r="C33" t="str">
            <v>ZV</v>
          </cell>
          <cell r="D33">
            <v>855</v>
          </cell>
        </row>
        <row r="34">
          <cell r="B34" t="str">
            <v>Žarnovica</v>
          </cell>
          <cell r="C34" t="str">
            <v>ZC</v>
          </cell>
          <cell r="D34">
            <v>858</v>
          </cell>
        </row>
        <row r="35">
          <cell r="B35" t="str">
            <v>Žiar nad Hronom</v>
          </cell>
          <cell r="C35" t="str">
            <v>ZH</v>
          </cell>
          <cell r="D35">
            <v>857</v>
          </cell>
        </row>
        <row r="37">
          <cell r="B37" t="str">
            <v>Teraz nadviažeme na prvú úlohu z predchádzajúceho hárku. </v>
          </cell>
        </row>
        <row r="38">
          <cell r="B38" t="str">
            <v>Predpokladajme, že jednotková cena sa počas sledovaných dní menila takto:</v>
          </cell>
        </row>
        <row r="39">
          <cell r="B39">
            <v>36557</v>
          </cell>
          <cell r="C39">
            <v>36558</v>
          </cell>
          <cell r="D39">
            <v>36559</v>
          </cell>
          <cell r="E39">
            <v>36560</v>
          </cell>
        </row>
        <row r="40">
          <cell r="B40">
            <v>99</v>
          </cell>
          <cell r="C40">
            <v>101</v>
          </cell>
          <cell r="D40">
            <v>98</v>
          </cell>
          <cell r="E40">
            <v>95</v>
          </cell>
        </row>
        <row r="41">
          <cell r="B41" t="str">
            <v>Medzi posledné dva stĺpce nasledujúcej tabuľky vložte nový stĺpec, nazvite ho Cena</v>
          </cell>
        </row>
        <row r="42">
          <cell r="B42" t="str">
            <v>a skopírujte doň jednotkové ceny z predchádzajúcej tabuľky. Vypočítajte tržbu za jednotlivé dni.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12.28125" style="36" customWidth="1"/>
    <col min="3" max="9" width="12.140625" style="44" customWidth="1"/>
    <col min="10" max="10" width="11.28125" style="36" customWidth="1"/>
    <col min="11" max="16384" width="9.140625" style="36" customWidth="1"/>
  </cols>
  <sheetData>
    <row r="1" ht="14.25">
      <c r="A1" s="2" t="s">
        <v>2</v>
      </c>
    </row>
    <row r="2" ht="14.25">
      <c r="A2" s="1" t="s">
        <v>3</v>
      </c>
    </row>
    <row r="3" ht="14.25">
      <c r="B3" s="1"/>
    </row>
    <row r="4" spans="3:9" ht="27" customHeight="1">
      <c r="C4" s="45">
        <v>500</v>
      </c>
      <c r="D4" s="45">
        <v>100</v>
      </c>
      <c r="E4" s="45">
        <v>20</v>
      </c>
      <c r="F4" s="45">
        <v>10</v>
      </c>
      <c r="G4" s="45">
        <v>2</v>
      </c>
      <c r="H4" s="45">
        <v>1</v>
      </c>
      <c r="I4" s="45">
        <v>0.5</v>
      </c>
    </row>
    <row r="5" spans="2:9" ht="15">
      <c r="B5" s="46">
        <v>6532.5</v>
      </c>
      <c r="C5" s="158">
        <f>INT($B5/C$4)</f>
        <v>13</v>
      </c>
      <c r="D5" s="158">
        <f>INT(($B5-C$4*C5)/D$4)</f>
        <v>0</v>
      </c>
      <c r="E5" s="158">
        <f>INT(($B5-D$4*D5-C$4*C5)/E$4)</f>
        <v>1</v>
      </c>
      <c r="F5" s="158">
        <f>INT(($B5-E$4*E5-D$4*D5-C$4*C5)/F$4)</f>
        <v>1</v>
      </c>
      <c r="G5" s="158">
        <f>INT(($B5-F$4*F5-E$4*E5-D$4*D5-C$4*C5)/G$4)</f>
        <v>1</v>
      </c>
      <c r="H5" s="158">
        <f>INT(($B5-G$4*G5-F$4*F5-E$4*E5-D$4*D5-C$4*C5)/H$4)</f>
        <v>0</v>
      </c>
      <c r="I5" s="158">
        <f>INT(($B5-H$4*H5-G$4*G5-F$4*F5-E$4*E5-D$4*D5-C$4*C5)/I$4)</f>
        <v>1</v>
      </c>
    </row>
    <row r="6" spans="2:9" ht="15">
      <c r="B6" s="46">
        <v>56</v>
      </c>
      <c r="C6" s="158">
        <f aca="true" t="shared" si="0" ref="C6:C11">INT($B6/C$4)</f>
        <v>0</v>
      </c>
      <c r="D6" s="158">
        <f aca="true" t="shared" si="1" ref="D6:D11">INT(($B6-C$4*C6)/D$4)</f>
        <v>0</v>
      </c>
      <c r="E6" s="158">
        <f aca="true" t="shared" si="2" ref="E6:E11">INT(($B6-D$4*D6-C$4*C6)/E$4)</f>
        <v>2</v>
      </c>
      <c r="F6" s="158">
        <f aca="true" t="shared" si="3" ref="F6:F11">INT(($B6-E$4*E6-D$4*D6-C$4*C6)/F$4)</f>
        <v>1</v>
      </c>
      <c r="G6" s="158">
        <f aca="true" t="shared" si="4" ref="G6:G11">INT(($B6-F$4*F6-E$4*E6-D$4*D6-C$4*C6)/G$4)</f>
        <v>3</v>
      </c>
      <c r="H6" s="158">
        <f aca="true" t="shared" si="5" ref="H6:H11">INT(($B6-G$4*G6-F$4*F6-E$4*E6-D$4*D6-C$4*C6)/H$4)</f>
        <v>0</v>
      </c>
      <c r="I6" s="158">
        <f aca="true" t="shared" si="6" ref="I6:I11">INT(($B6-H$4*H6-G$4*G6-F$4*F6-E$4*E6-D$4*D6-C$4*C6)/I$4)</f>
        <v>0</v>
      </c>
    </row>
    <row r="7" spans="2:9" ht="15">
      <c r="B7" s="46">
        <v>2569</v>
      </c>
      <c r="C7" s="158">
        <f t="shared" si="0"/>
        <v>5</v>
      </c>
      <c r="D7" s="158">
        <f t="shared" si="1"/>
        <v>0</v>
      </c>
      <c r="E7" s="158">
        <f t="shared" si="2"/>
        <v>3</v>
      </c>
      <c r="F7" s="158">
        <f t="shared" si="3"/>
        <v>0</v>
      </c>
      <c r="G7" s="158">
        <f t="shared" si="4"/>
        <v>4</v>
      </c>
      <c r="H7" s="158">
        <f t="shared" si="5"/>
        <v>1</v>
      </c>
      <c r="I7" s="158">
        <f t="shared" si="6"/>
        <v>0</v>
      </c>
    </row>
    <row r="8" spans="2:9" ht="15">
      <c r="B8" s="46">
        <v>100</v>
      </c>
      <c r="C8" s="158">
        <f t="shared" si="0"/>
        <v>0</v>
      </c>
      <c r="D8" s="158">
        <f t="shared" si="1"/>
        <v>1</v>
      </c>
      <c r="E8" s="158">
        <f t="shared" si="2"/>
        <v>0</v>
      </c>
      <c r="F8" s="158">
        <f t="shared" si="3"/>
        <v>0</v>
      </c>
      <c r="G8" s="158">
        <f t="shared" si="4"/>
        <v>0</v>
      </c>
      <c r="H8" s="158">
        <f t="shared" si="5"/>
        <v>0</v>
      </c>
      <c r="I8" s="158">
        <f t="shared" si="6"/>
        <v>0</v>
      </c>
    </row>
    <row r="9" spans="2:9" ht="15">
      <c r="B9" s="46">
        <v>62.5</v>
      </c>
      <c r="C9" s="158">
        <f t="shared" si="0"/>
        <v>0</v>
      </c>
      <c r="D9" s="158">
        <f t="shared" si="1"/>
        <v>0</v>
      </c>
      <c r="E9" s="158">
        <f t="shared" si="2"/>
        <v>3</v>
      </c>
      <c r="F9" s="158">
        <f t="shared" si="3"/>
        <v>0</v>
      </c>
      <c r="G9" s="158">
        <f t="shared" si="4"/>
        <v>1</v>
      </c>
      <c r="H9" s="158">
        <f t="shared" si="5"/>
        <v>0</v>
      </c>
      <c r="I9" s="158">
        <f t="shared" si="6"/>
        <v>1</v>
      </c>
    </row>
    <row r="10" spans="2:9" ht="15">
      <c r="B10" s="46">
        <v>35.5</v>
      </c>
      <c r="C10" s="158">
        <f t="shared" si="0"/>
        <v>0</v>
      </c>
      <c r="D10" s="158">
        <f t="shared" si="1"/>
        <v>0</v>
      </c>
      <c r="E10" s="158">
        <f t="shared" si="2"/>
        <v>1</v>
      </c>
      <c r="F10" s="158">
        <f t="shared" si="3"/>
        <v>1</v>
      </c>
      <c r="G10" s="158">
        <f t="shared" si="4"/>
        <v>2</v>
      </c>
      <c r="H10" s="158">
        <f t="shared" si="5"/>
        <v>1</v>
      </c>
      <c r="I10" s="158">
        <f t="shared" si="6"/>
        <v>1</v>
      </c>
    </row>
    <row r="11" spans="2:9" ht="15">
      <c r="B11" s="46">
        <v>7</v>
      </c>
      <c r="C11" s="158">
        <f t="shared" si="0"/>
        <v>0</v>
      </c>
      <c r="D11" s="158">
        <f t="shared" si="1"/>
        <v>0</v>
      </c>
      <c r="E11" s="158">
        <f t="shared" si="2"/>
        <v>0</v>
      </c>
      <c r="F11" s="158">
        <f t="shared" si="3"/>
        <v>0</v>
      </c>
      <c r="G11" s="158">
        <f t="shared" si="4"/>
        <v>3</v>
      </c>
      <c r="H11" s="158">
        <f t="shared" si="5"/>
        <v>1</v>
      </c>
      <c r="I11" s="158">
        <f t="shared" si="6"/>
        <v>0</v>
      </c>
    </row>
    <row r="12" spans="2:9" ht="33" customHeight="1">
      <c r="B12" s="47" t="s">
        <v>0</v>
      </c>
      <c r="C12" s="159">
        <f>SUM(C5:C11)</f>
        <v>18</v>
      </c>
      <c r="D12" s="159">
        <f aca="true" t="shared" si="7" ref="D12:I12">SUM(D5:D11)</f>
        <v>1</v>
      </c>
      <c r="E12" s="159">
        <f t="shared" si="7"/>
        <v>10</v>
      </c>
      <c r="F12" s="159">
        <f t="shared" si="7"/>
        <v>3</v>
      </c>
      <c r="G12" s="159">
        <f t="shared" si="7"/>
        <v>14</v>
      </c>
      <c r="H12" s="159">
        <f t="shared" si="7"/>
        <v>3</v>
      </c>
      <c r="I12" s="159">
        <f t="shared" si="7"/>
        <v>3</v>
      </c>
    </row>
    <row r="13" ht="14.25"/>
    <row r="14" spans="3:10" ht="14.25">
      <c r="C14" s="164" t="s">
        <v>146</v>
      </c>
      <c r="J14" s="48"/>
    </row>
    <row r="15" ht="14.25">
      <c r="C15" s="164" t="s">
        <v>151</v>
      </c>
    </row>
    <row r="16" spans="3:4" ht="14.25">
      <c r="C16" s="164" t="s">
        <v>147</v>
      </c>
      <c r="D16" s="157"/>
    </row>
    <row r="17" ht="14.25">
      <c r="A17" s="2" t="s">
        <v>2</v>
      </c>
    </row>
    <row r="18" spans="1:3" ht="14.25">
      <c r="A18" s="2"/>
      <c r="C18" s="23"/>
    </row>
    <row r="19" spans="3:9" ht="24" customHeight="1">
      <c r="C19" s="55">
        <v>876.5</v>
      </c>
      <c r="D19" s="55">
        <v>431</v>
      </c>
      <c r="E19" s="55">
        <v>45</v>
      </c>
      <c r="F19" s="55">
        <v>98.5</v>
      </c>
      <c r="G19" s="55">
        <v>1234.5</v>
      </c>
      <c r="H19" s="55">
        <v>635.5</v>
      </c>
      <c r="I19" s="55">
        <v>7</v>
      </c>
    </row>
    <row r="20" spans="3:10" ht="16.5">
      <c r="C20" s="156">
        <f>INT(C$19/$J20)</f>
        <v>8</v>
      </c>
      <c r="D20" s="156">
        <f aca="true" t="shared" si="8" ref="D20:I20">INT(D$19/$J20)</f>
        <v>4</v>
      </c>
      <c r="E20" s="156">
        <f t="shared" si="8"/>
        <v>0</v>
      </c>
      <c r="F20" s="156">
        <f t="shared" si="8"/>
        <v>0</v>
      </c>
      <c r="G20" s="156">
        <f t="shared" si="8"/>
        <v>12</v>
      </c>
      <c r="H20" s="156">
        <f t="shared" si="8"/>
        <v>6</v>
      </c>
      <c r="I20" s="156">
        <f t="shared" si="8"/>
        <v>0</v>
      </c>
      <c r="J20" s="56">
        <v>100</v>
      </c>
    </row>
    <row r="21" spans="3:10" ht="16.5">
      <c r="C21" s="156">
        <f>INT((C$19-C20*$J20)/$J21)</f>
        <v>7</v>
      </c>
      <c r="D21" s="156">
        <f aca="true" t="shared" si="9" ref="D21:I21">INT((D$19-D20*$J20)/$J21)</f>
        <v>3</v>
      </c>
      <c r="E21" s="156">
        <f t="shared" si="9"/>
        <v>4</v>
      </c>
      <c r="F21" s="156">
        <f t="shared" si="9"/>
        <v>9</v>
      </c>
      <c r="G21" s="156">
        <f t="shared" si="9"/>
        <v>3</v>
      </c>
      <c r="H21" s="156">
        <f t="shared" si="9"/>
        <v>3</v>
      </c>
      <c r="I21" s="156">
        <f t="shared" si="9"/>
        <v>0</v>
      </c>
      <c r="J21" s="56">
        <v>10</v>
      </c>
    </row>
    <row r="22" spans="3:10" ht="16.5">
      <c r="C22" s="156">
        <f>INT((C$19-C21*$J21-C20*$J20)/$J22)</f>
        <v>6</v>
      </c>
      <c r="D22" s="156">
        <f aca="true" t="shared" si="10" ref="D22:I22">INT((D$19-D21*$J21-D20*$J20)/$J22)</f>
        <v>1</v>
      </c>
      <c r="E22" s="156">
        <f t="shared" si="10"/>
        <v>5</v>
      </c>
      <c r="F22" s="156">
        <f t="shared" si="10"/>
        <v>8</v>
      </c>
      <c r="G22" s="156">
        <f t="shared" si="10"/>
        <v>4</v>
      </c>
      <c r="H22" s="156">
        <f t="shared" si="10"/>
        <v>5</v>
      </c>
      <c r="I22" s="156">
        <f t="shared" si="10"/>
        <v>7</v>
      </c>
      <c r="J22" s="56">
        <v>1</v>
      </c>
    </row>
    <row r="23" spans="3:10" ht="16.5">
      <c r="C23" s="156">
        <f aca="true" t="shared" si="11" ref="C23:I23">INT((C$19-C22*$J22-C21*$J21-C20*$J20)/$J23)</f>
        <v>1</v>
      </c>
      <c r="D23" s="156">
        <f t="shared" si="11"/>
        <v>0</v>
      </c>
      <c r="E23" s="156">
        <f t="shared" si="11"/>
        <v>0</v>
      </c>
      <c r="F23" s="156">
        <f t="shared" si="11"/>
        <v>1</v>
      </c>
      <c r="G23" s="156">
        <f t="shared" si="11"/>
        <v>1</v>
      </c>
      <c r="H23" s="156">
        <f t="shared" si="11"/>
        <v>1</v>
      </c>
      <c r="I23" s="156">
        <f t="shared" si="11"/>
        <v>0</v>
      </c>
      <c r="J23" s="57">
        <v>0.5</v>
      </c>
    </row>
    <row r="24" spans="2:9" ht="26.25" customHeight="1">
      <c r="B24" s="54" t="s">
        <v>6</v>
      </c>
      <c r="C24" s="49" t="str">
        <f>IF((C20*$J20+C21*$J21+C22*$J22+C23*$J23)=C19,"OK","x")</f>
        <v>OK</v>
      </c>
      <c r="D24" s="49" t="str">
        <f aca="true" t="shared" si="12" ref="D24:I24">IF((D20*$J20+D21*$J21+D22*$J22+D23*$J23)=D19,"OK","x")</f>
        <v>OK</v>
      </c>
      <c r="E24" s="49" t="str">
        <f t="shared" si="12"/>
        <v>OK</v>
      </c>
      <c r="F24" s="49" t="str">
        <f t="shared" si="12"/>
        <v>OK</v>
      </c>
      <c r="G24" s="49" t="str">
        <f t="shared" si="12"/>
        <v>OK</v>
      </c>
      <c r="H24" s="49" t="str">
        <f t="shared" si="12"/>
        <v>OK</v>
      </c>
      <c r="I24" s="49" t="str">
        <f t="shared" si="12"/>
        <v>OK</v>
      </c>
    </row>
    <row r="26" ht="14.25">
      <c r="C26" s="164" t="s">
        <v>144</v>
      </c>
    </row>
    <row r="27" ht="14.25">
      <c r="C27" s="164" t="s">
        <v>145</v>
      </c>
    </row>
    <row r="28" ht="14.25">
      <c r="C28" s="164" t="s">
        <v>149</v>
      </c>
    </row>
    <row r="29" ht="14.25">
      <c r="C29" s="164"/>
    </row>
    <row r="30" ht="14.25">
      <c r="C30" s="164"/>
    </row>
    <row r="31" ht="14.25">
      <c r="C31" s="164" t="s">
        <v>150</v>
      </c>
    </row>
    <row r="32" ht="14.25">
      <c r="C32" s="164" t="s">
        <v>148</v>
      </c>
    </row>
    <row r="33" ht="14.25">
      <c r="C33" s="160"/>
    </row>
  </sheetData>
  <sheetProtection/>
  <conditionalFormatting sqref="C24:I24">
    <cfRule type="cellIs" priority="4" dxfId="12" operator="equal" stopIfTrue="1">
      <formula>"x"</formula>
    </cfRule>
    <cfRule type="expression" priority="5" dxfId="12" stopIfTrue="1">
      <formula>"x"</formula>
    </cfRule>
  </conditionalFormatting>
  <conditionalFormatting sqref="C5:I11 C20:I23">
    <cfRule type="cellIs" priority="1" dxfId="13" operator="greaterThan" stopIfTrue="1">
      <formula>2</formula>
    </cfRule>
    <cfRule type="cellIs" priority="2" dxfId="14" operator="equal" stopIfTrue="1">
      <formula>2</formula>
    </cfRule>
    <cfRule type="cellIs" priority="3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9.28125" style="36" bestFit="1" customWidth="1"/>
    <col min="3" max="8" width="13.00390625" style="36" customWidth="1"/>
    <col min="9" max="10" width="11.28125" style="36" customWidth="1"/>
    <col min="11" max="16384" width="9.140625" style="36" customWidth="1"/>
  </cols>
  <sheetData>
    <row r="1" spans="1:2" ht="14.25">
      <c r="A1" s="2" t="s">
        <v>2</v>
      </c>
      <c r="B1" s="2"/>
    </row>
    <row r="2" spans="1:2" ht="14.25">
      <c r="A2" s="1" t="s">
        <v>5</v>
      </c>
      <c r="B2" s="2"/>
    </row>
    <row r="3" spans="1:2" ht="14.25">
      <c r="A3" s="2"/>
      <c r="B3" s="2"/>
    </row>
    <row r="4" ht="14.25"/>
    <row r="5" spans="2:8" ht="15">
      <c r="B5" s="58">
        <v>83</v>
      </c>
      <c r="C5" s="51">
        <f>INT(($B5-D5*D$13-E5*E$13-F5*F$13-G5*G$13)/C$13)</f>
        <v>0</v>
      </c>
      <c r="D5" s="52">
        <f>INT(($B5-E5*E$13-F5*F$13-G5*G$13)/D$13)</f>
        <v>1</v>
      </c>
      <c r="E5" s="52">
        <f>INT(($B5-F5*F$13-G5*G$13)/E$13)</f>
        <v>0</v>
      </c>
      <c r="F5" s="52">
        <f>INT(($B5-G5*G$13)/F$13)</f>
        <v>0</v>
      </c>
      <c r="G5" s="53">
        <f>INT($B5/G$13)</f>
        <v>4</v>
      </c>
      <c r="H5" s="50">
        <f>IF((G5*$G$13+F5*$F$13)=B5,"Veľké bankovky","")</f>
      </c>
    </row>
    <row r="6" spans="2:8" ht="15">
      <c r="B6" s="58">
        <v>45</v>
      </c>
      <c r="C6" s="30">
        <f aca="true" t="shared" si="0" ref="C6:C12">INT(($B6-D6*D$13-E6*E$13-F6*F$13-G6*G$13)/C$13)</f>
        <v>0</v>
      </c>
      <c r="D6" s="31">
        <f aca="true" t="shared" si="1" ref="D6:D12">INT(($B6-E6*E$13-F6*F$13-G6*G$13)/D$13)</f>
        <v>0</v>
      </c>
      <c r="E6" s="31">
        <f aca="true" t="shared" si="2" ref="E6:E12">INT(($B6-F6*F$13-G6*G$13)/E$13)</f>
        <v>1</v>
      </c>
      <c r="F6" s="31">
        <f aca="true" t="shared" si="3" ref="F6:F12">INT(($B6-G6*G$13)/F$13)</f>
        <v>0</v>
      </c>
      <c r="G6" s="32">
        <f aca="true" t="shared" si="4" ref="G6:G12">INT($B6/G$13)</f>
        <v>2</v>
      </c>
      <c r="H6" s="50">
        <f aca="true" t="shared" si="5" ref="H6:H12">IF((G6*$G$13+F6*$F$13)=B6,"Veľké bankovky","")</f>
      </c>
    </row>
    <row r="7" spans="2:8" ht="15">
      <c r="B7" s="58">
        <v>14</v>
      </c>
      <c r="C7" s="30">
        <f t="shared" si="0"/>
        <v>0</v>
      </c>
      <c r="D7" s="31">
        <f t="shared" si="1"/>
        <v>0</v>
      </c>
      <c r="E7" s="31">
        <f t="shared" si="2"/>
        <v>0</v>
      </c>
      <c r="F7" s="31">
        <f t="shared" si="3"/>
        <v>2</v>
      </c>
      <c r="G7" s="32">
        <f t="shared" si="4"/>
        <v>0</v>
      </c>
      <c r="H7" s="50" t="str">
        <f t="shared" si="5"/>
        <v>Veľké bankovky</v>
      </c>
    </row>
    <row r="8" spans="2:8" ht="15">
      <c r="B8" s="58">
        <v>3</v>
      </c>
      <c r="C8" s="30">
        <f t="shared" si="0"/>
        <v>0</v>
      </c>
      <c r="D8" s="31">
        <f t="shared" si="1"/>
        <v>1</v>
      </c>
      <c r="E8" s="31">
        <f t="shared" si="2"/>
        <v>0</v>
      </c>
      <c r="F8" s="31">
        <f t="shared" si="3"/>
        <v>0</v>
      </c>
      <c r="G8" s="32">
        <f t="shared" si="4"/>
        <v>0</v>
      </c>
      <c r="H8" s="50">
        <f t="shared" si="5"/>
      </c>
    </row>
    <row r="9" spans="2:8" ht="15">
      <c r="B9" s="58">
        <v>79</v>
      </c>
      <c r="C9" s="30">
        <f t="shared" si="0"/>
        <v>0</v>
      </c>
      <c r="D9" s="31">
        <f t="shared" si="1"/>
        <v>0</v>
      </c>
      <c r="E9" s="31">
        <f t="shared" si="2"/>
        <v>1</v>
      </c>
      <c r="F9" s="31">
        <f t="shared" si="3"/>
        <v>2</v>
      </c>
      <c r="G9" s="32">
        <f t="shared" si="4"/>
        <v>3</v>
      </c>
      <c r="H9" s="50">
        <f t="shared" si="5"/>
      </c>
    </row>
    <row r="10" spans="2:8" ht="15">
      <c r="B10" s="58">
        <v>80</v>
      </c>
      <c r="C10" s="30">
        <f t="shared" si="0"/>
        <v>0</v>
      </c>
      <c r="D10" s="31">
        <f t="shared" si="1"/>
        <v>0</v>
      </c>
      <c r="E10" s="31">
        <f t="shared" si="2"/>
        <v>0</v>
      </c>
      <c r="F10" s="31">
        <f t="shared" si="3"/>
        <v>0</v>
      </c>
      <c r="G10" s="32">
        <f t="shared" si="4"/>
        <v>4</v>
      </c>
      <c r="H10" s="50" t="str">
        <f t="shared" si="5"/>
        <v>Veľké bankovky</v>
      </c>
    </row>
    <row r="11" spans="2:8" ht="15">
      <c r="B11" s="58">
        <v>60</v>
      </c>
      <c r="C11" s="30">
        <f t="shared" si="0"/>
        <v>0</v>
      </c>
      <c r="D11" s="31">
        <f t="shared" si="1"/>
        <v>0</v>
      </c>
      <c r="E11" s="31">
        <f t="shared" si="2"/>
        <v>0</v>
      </c>
      <c r="F11" s="31">
        <f t="shared" si="3"/>
        <v>0</v>
      </c>
      <c r="G11" s="32">
        <f t="shared" si="4"/>
        <v>3</v>
      </c>
      <c r="H11" s="50" t="str">
        <f t="shared" si="5"/>
        <v>Veľké bankovky</v>
      </c>
    </row>
    <row r="12" spans="2:8" ht="15">
      <c r="B12" s="58">
        <v>45</v>
      </c>
      <c r="C12" s="33">
        <f t="shared" si="0"/>
        <v>0</v>
      </c>
      <c r="D12" s="34">
        <f t="shared" si="1"/>
        <v>0</v>
      </c>
      <c r="E12" s="34">
        <f t="shared" si="2"/>
        <v>1</v>
      </c>
      <c r="F12" s="34">
        <f t="shared" si="3"/>
        <v>0</v>
      </c>
      <c r="G12" s="35">
        <f t="shared" si="4"/>
        <v>2</v>
      </c>
      <c r="H12" s="50">
        <f t="shared" si="5"/>
      </c>
    </row>
    <row r="13" spans="3:7" ht="14.25">
      <c r="C13" s="29">
        <v>1</v>
      </c>
      <c r="D13" s="29">
        <v>3</v>
      </c>
      <c r="E13" s="29">
        <v>5</v>
      </c>
      <c r="F13" s="29">
        <v>7</v>
      </c>
      <c r="G13" s="29">
        <v>20</v>
      </c>
    </row>
    <row r="14" spans="3:7" ht="14.25">
      <c r="C14" s="192" t="s">
        <v>4</v>
      </c>
      <c r="D14" s="192"/>
      <c r="E14" s="192"/>
      <c r="F14" s="192"/>
      <c r="G14" s="192"/>
    </row>
    <row r="15" ht="14.25">
      <c r="B15" s="164" t="s">
        <v>152</v>
      </c>
    </row>
    <row r="16" ht="14.25">
      <c r="B16" s="164" t="s">
        <v>153</v>
      </c>
    </row>
    <row r="17" ht="14.25"/>
    <row r="18" ht="14.25">
      <c r="A18" s="2" t="s">
        <v>2</v>
      </c>
    </row>
    <row r="19" ht="14.25"/>
    <row r="20" spans="3:10" ht="45.75" customHeight="1">
      <c r="C20" s="43">
        <v>567</v>
      </c>
      <c r="D20" s="43">
        <v>234</v>
      </c>
      <c r="E20" s="43">
        <v>80</v>
      </c>
      <c r="F20" s="43">
        <v>3</v>
      </c>
      <c r="G20" s="43">
        <v>679</v>
      </c>
      <c r="H20" s="43">
        <v>871</v>
      </c>
      <c r="I20" s="43">
        <v>32</v>
      </c>
      <c r="J20" s="43">
        <v>9</v>
      </c>
    </row>
    <row r="21" spans="2:10" ht="18">
      <c r="B21" s="40">
        <v>1</v>
      </c>
      <c r="C21" s="39">
        <f>INT((C$20-C22*$B22-C23*$B23-C24*$B24-C25*$B25-C26*$B26)/$B21)</f>
        <v>1</v>
      </c>
      <c r="D21" s="39">
        <f aca="true" t="shared" si="6" ref="D21:J21">INT((D$20-D22*$B22-D23*$B23-D24*$B24-D25*$B25-D26*$B26)/$B21)</f>
        <v>0</v>
      </c>
      <c r="E21" s="39">
        <f t="shared" si="6"/>
        <v>0</v>
      </c>
      <c r="F21" s="39">
        <f t="shared" si="6"/>
        <v>1</v>
      </c>
      <c r="G21" s="39">
        <f t="shared" si="6"/>
        <v>1</v>
      </c>
      <c r="H21" s="39">
        <f t="shared" si="6"/>
        <v>1</v>
      </c>
      <c r="I21" s="39">
        <f t="shared" si="6"/>
        <v>0</v>
      </c>
      <c r="J21" s="39">
        <f t="shared" si="6"/>
        <v>1</v>
      </c>
    </row>
    <row r="22" spans="2:10" ht="18">
      <c r="B22" s="41">
        <v>2</v>
      </c>
      <c r="C22" s="37">
        <f>INT((C$20-C23*$B23-C24*$B24-C25*$B25-C26*$B26)/$B22)</f>
        <v>3</v>
      </c>
      <c r="D22" s="37">
        <f aca="true" t="shared" si="7" ref="D22:J22">INT((D$20-D23*$B23-D24*$B24-D25*$B25-D26*$B26)/$B22)</f>
        <v>2</v>
      </c>
      <c r="E22" s="37">
        <f t="shared" si="7"/>
        <v>0</v>
      </c>
      <c r="F22" s="37">
        <f t="shared" si="7"/>
        <v>1</v>
      </c>
      <c r="G22" s="37">
        <f t="shared" si="7"/>
        <v>4</v>
      </c>
      <c r="H22" s="37">
        <f t="shared" si="7"/>
        <v>0</v>
      </c>
      <c r="I22" s="37">
        <f t="shared" si="7"/>
        <v>1</v>
      </c>
      <c r="J22" s="37">
        <f t="shared" si="7"/>
        <v>4</v>
      </c>
    </row>
    <row r="23" spans="2:10" ht="18">
      <c r="B23" s="42">
        <v>10</v>
      </c>
      <c r="C23" s="38">
        <f>INT((C$20-C24*$B24-C25*$B25-C26*$B26)/$B23)</f>
        <v>1</v>
      </c>
      <c r="D23" s="38">
        <f aca="true" t="shared" si="8" ref="D23:J23">INT((D$20-D24*$B24-D25*$B25-D26*$B26)/$B23)</f>
        <v>1</v>
      </c>
      <c r="E23" s="38">
        <f t="shared" si="8"/>
        <v>1</v>
      </c>
      <c r="F23" s="38">
        <f t="shared" si="8"/>
        <v>0</v>
      </c>
      <c r="G23" s="38">
        <f t="shared" si="8"/>
        <v>0</v>
      </c>
      <c r="H23" s="38">
        <f t="shared" si="8"/>
        <v>0</v>
      </c>
      <c r="I23" s="38">
        <f t="shared" si="8"/>
        <v>1</v>
      </c>
      <c r="J23" s="38">
        <f t="shared" si="8"/>
        <v>0</v>
      </c>
    </row>
    <row r="24" spans="2:10" ht="18">
      <c r="B24" s="24">
        <v>20</v>
      </c>
      <c r="C24" s="27">
        <f>INT((C$20-C25*$B25-C26*$B26)/$B24)</f>
        <v>0</v>
      </c>
      <c r="D24" s="27">
        <f aca="true" t="shared" si="9" ref="D24:J24">INT((D$20-D25*$B25-D26*$B26)/$B24)</f>
        <v>1</v>
      </c>
      <c r="E24" s="27">
        <f t="shared" si="9"/>
        <v>1</v>
      </c>
      <c r="F24" s="27">
        <f t="shared" si="9"/>
        <v>0</v>
      </c>
      <c r="G24" s="27">
        <f t="shared" si="9"/>
        <v>1</v>
      </c>
      <c r="H24" s="27">
        <f t="shared" si="9"/>
        <v>1</v>
      </c>
      <c r="I24" s="27">
        <f t="shared" si="9"/>
        <v>1</v>
      </c>
      <c r="J24" s="27">
        <f t="shared" si="9"/>
        <v>0</v>
      </c>
    </row>
    <row r="25" spans="2:10" ht="18">
      <c r="B25" s="25">
        <v>50</v>
      </c>
      <c r="C25" s="28">
        <f>INT((C$20-C26*$B26)/$B25)</f>
        <v>1</v>
      </c>
      <c r="D25" s="28">
        <f aca="true" t="shared" si="10" ref="D25:J25">INT((D$20-D26*$B26)/$B25)</f>
        <v>0</v>
      </c>
      <c r="E25" s="28">
        <f t="shared" si="10"/>
        <v>1</v>
      </c>
      <c r="F25" s="28">
        <f t="shared" si="10"/>
        <v>0</v>
      </c>
      <c r="G25" s="28">
        <f t="shared" si="10"/>
        <v>1</v>
      </c>
      <c r="H25" s="28">
        <f t="shared" si="10"/>
        <v>1</v>
      </c>
      <c r="I25" s="28">
        <f t="shared" si="10"/>
        <v>0</v>
      </c>
      <c r="J25" s="28">
        <f t="shared" si="10"/>
        <v>0</v>
      </c>
    </row>
    <row r="26" spans="2:10" ht="18">
      <c r="B26" s="26">
        <v>100</v>
      </c>
      <c r="C26" s="161">
        <f>INT(C$20/$B26)</f>
        <v>5</v>
      </c>
      <c r="D26" s="161">
        <f aca="true" t="shared" si="11" ref="D26:J26">INT(D$20/$B26)</f>
        <v>2</v>
      </c>
      <c r="E26" s="161">
        <f t="shared" si="11"/>
        <v>0</v>
      </c>
      <c r="F26" s="161">
        <f t="shared" si="11"/>
        <v>0</v>
      </c>
      <c r="G26" s="161">
        <f t="shared" si="11"/>
        <v>6</v>
      </c>
      <c r="H26" s="161">
        <f t="shared" si="11"/>
        <v>8</v>
      </c>
      <c r="I26" s="161">
        <f t="shared" si="11"/>
        <v>0</v>
      </c>
      <c r="J26" s="161">
        <f t="shared" si="11"/>
        <v>0</v>
      </c>
    </row>
    <row r="27" ht="14.25"/>
    <row r="28" spans="2:3" ht="14.25">
      <c r="B28" s="164" t="s">
        <v>158</v>
      </c>
      <c r="C28" s="164"/>
    </row>
    <row r="29" spans="2:3" ht="14.25">
      <c r="B29" s="164" t="s">
        <v>154</v>
      </c>
      <c r="C29" s="164"/>
    </row>
    <row r="30" ht="14.25">
      <c r="B30" s="164"/>
    </row>
    <row r="31" ht="14.25">
      <c r="B31" s="164" t="s">
        <v>150</v>
      </c>
    </row>
    <row r="32" ht="14.25">
      <c r="B32" s="164" t="s">
        <v>148</v>
      </c>
    </row>
  </sheetData>
  <sheetProtection/>
  <mergeCells count="1">
    <mergeCell ref="C14:G14"/>
  </mergeCells>
  <conditionalFormatting sqref="C5:G12 C21:J26">
    <cfRule type="cellIs" priority="1" dxfId="15" operator="greaterThan" stopIfTrue="1">
      <formula>2</formula>
    </cfRule>
    <cfRule type="cellIs" priority="2" dxfId="14" operator="equal" stopIfTrue="1">
      <formula>2</formula>
    </cfRule>
    <cfRule type="cellIs" priority="3" dxfId="12" operator="equal" stopIfTrue="1">
      <formula>1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B3" sqref="B3:I18"/>
    </sheetView>
  </sheetViews>
  <sheetFormatPr defaultColWidth="9.140625" defaultRowHeight="15"/>
  <cols>
    <col min="1" max="2" width="9.140625" style="3" customWidth="1"/>
    <col min="3" max="23" width="5.7109375" style="3" customWidth="1"/>
    <col min="24" max="16384" width="9.140625" style="3" customWidth="1"/>
  </cols>
  <sheetData>
    <row r="1" ht="12.75">
      <c r="A1" s="2" t="s">
        <v>1</v>
      </c>
    </row>
    <row r="3" spans="3:23" s="8" customFormat="1" ht="60.75" customHeight="1" thickBot="1">
      <c r="C3" s="9">
        <v>5320</v>
      </c>
      <c r="D3" s="9">
        <v>8946</v>
      </c>
      <c r="E3" s="9">
        <v>1684</v>
      </c>
      <c r="F3" s="9">
        <v>152.5</v>
      </c>
      <c r="G3" s="9">
        <v>32.95</v>
      </c>
      <c r="H3" s="9">
        <v>1.2</v>
      </c>
      <c r="I3" s="9">
        <v>36.25</v>
      </c>
      <c r="J3" s="9">
        <v>2459.1</v>
      </c>
      <c r="K3" s="9">
        <v>2639.23</v>
      </c>
      <c r="L3" s="9">
        <v>200</v>
      </c>
      <c r="M3" s="9">
        <v>100.3</v>
      </c>
      <c r="N3" s="9">
        <v>60.25</v>
      </c>
      <c r="O3" s="9">
        <v>98.9</v>
      </c>
      <c r="P3" s="9">
        <v>99.99</v>
      </c>
      <c r="Q3" s="9">
        <v>100.65</v>
      </c>
      <c r="R3" s="9">
        <v>12.68</v>
      </c>
      <c r="S3" s="9">
        <v>456.5</v>
      </c>
      <c r="T3" s="9">
        <v>12.1</v>
      </c>
      <c r="U3" s="9">
        <v>0.69</v>
      </c>
      <c r="V3" s="9">
        <v>565.75</v>
      </c>
      <c r="W3" s="9">
        <v>4.05</v>
      </c>
    </row>
    <row r="4" spans="2:25" ht="12.75">
      <c r="B4" s="4">
        <v>0.01</v>
      </c>
      <c r="C4" s="13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6"/>
      <c r="X4" s="5"/>
      <c r="Y4" s="5"/>
    </row>
    <row r="5" spans="2:25" ht="12.75">
      <c r="B5" s="4">
        <v>0.02</v>
      </c>
      <c r="C5" s="17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18"/>
      <c r="X5" s="5"/>
      <c r="Y5" s="5"/>
    </row>
    <row r="6" spans="2:25" ht="12.75">
      <c r="B6" s="4">
        <v>0.05</v>
      </c>
      <c r="C6" s="17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18"/>
      <c r="X6" s="5"/>
      <c r="Y6" s="5"/>
    </row>
    <row r="7" spans="2:25" ht="12.75">
      <c r="B7" s="4">
        <v>0.1</v>
      </c>
      <c r="C7" s="17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18"/>
      <c r="X7" s="5"/>
      <c r="Y7" s="5"/>
    </row>
    <row r="8" spans="2:25" ht="12.75">
      <c r="B8" s="4">
        <v>0.2</v>
      </c>
      <c r="C8" s="17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18"/>
      <c r="X8" s="5"/>
      <c r="Y8" s="5"/>
    </row>
    <row r="9" spans="2:25" ht="12.75">
      <c r="B9" s="4">
        <v>0.5</v>
      </c>
      <c r="C9" s="17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18"/>
      <c r="X9" s="5"/>
      <c r="Y9" s="5"/>
    </row>
    <row r="10" spans="2:25" ht="12.75">
      <c r="B10" s="4">
        <v>1</v>
      </c>
      <c r="C10" s="17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18"/>
      <c r="X10" s="5"/>
      <c r="Y10" s="5"/>
    </row>
    <row r="11" spans="2:25" ht="12.75">
      <c r="B11" s="4">
        <v>2</v>
      </c>
      <c r="C11" s="17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18"/>
      <c r="X11" s="5"/>
      <c r="Y11" s="5"/>
    </row>
    <row r="12" spans="2:25" ht="12.75">
      <c r="B12" s="4">
        <v>5</v>
      </c>
      <c r="C12" s="17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18"/>
      <c r="X12" s="5"/>
      <c r="Y12" s="5"/>
    </row>
    <row r="13" spans="2:25" ht="12.75">
      <c r="B13" s="4">
        <v>10</v>
      </c>
      <c r="C13" s="17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18"/>
      <c r="X13" s="5"/>
      <c r="Y13" s="5"/>
    </row>
    <row r="14" spans="2:25" ht="12.75">
      <c r="B14" s="4">
        <v>20</v>
      </c>
      <c r="C14" s="17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18"/>
      <c r="X14" s="5"/>
      <c r="Y14" s="5"/>
    </row>
    <row r="15" spans="2:25" ht="12.75">
      <c r="B15" s="4">
        <v>50</v>
      </c>
      <c r="C15" s="17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18"/>
      <c r="X15" s="5"/>
      <c r="Y15" s="5"/>
    </row>
    <row r="16" spans="2:25" ht="12.75">
      <c r="B16" s="4">
        <v>100</v>
      </c>
      <c r="C16" s="17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18"/>
      <c r="X16" s="5"/>
      <c r="Y16" s="5"/>
    </row>
    <row r="17" spans="2:25" ht="12.75">
      <c r="B17" s="4">
        <v>200</v>
      </c>
      <c r="C17" s="17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18"/>
      <c r="X17" s="5"/>
      <c r="Y17" s="5"/>
    </row>
    <row r="18" spans="2:25" ht="13.5" thickBot="1">
      <c r="B18" s="4">
        <v>500</v>
      </c>
      <c r="C18" s="19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2"/>
      <c r="X18" s="5"/>
      <c r="Y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B3" sqref="B3:I18"/>
    </sheetView>
  </sheetViews>
  <sheetFormatPr defaultColWidth="9.140625" defaultRowHeight="15"/>
  <cols>
    <col min="1" max="1" width="9.140625" style="3" customWidth="1"/>
    <col min="2" max="2" width="11.421875" style="3" bestFit="1" customWidth="1"/>
    <col min="3" max="16384" width="9.140625" style="3" customWidth="1"/>
  </cols>
  <sheetData>
    <row r="2" spans="3:9" ht="12.75">
      <c r="C2" s="10">
        <v>1</v>
      </c>
      <c r="D2" s="10">
        <v>10</v>
      </c>
      <c r="E2" s="10">
        <v>20</v>
      </c>
      <c r="F2" s="10">
        <v>50</v>
      </c>
      <c r="G2" s="10">
        <v>100</v>
      </c>
      <c r="H2" s="10">
        <v>500</v>
      </c>
      <c r="I2" s="10">
        <v>1000</v>
      </c>
    </row>
    <row r="3" spans="2:9" ht="18" customHeight="1">
      <c r="B3" s="12">
        <v>456</v>
      </c>
      <c r="C3" s="11"/>
      <c r="D3" s="11"/>
      <c r="E3" s="11"/>
      <c r="F3" s="11"/>
      <c r="G3" s="11"/>
      <c r="H3" s="11"/>
      <c r="I3" s="11"/>
    </row>
    <row r="4" spans="2:9" ht="18" customHeight="1">
      <c r="B4" s="12">
        <v>36</v>
      </c>
      <c r="C4" s="11"/>
      <c r="D4" s="11"/>
      <c r="E4" s="11"/>
      <c r="F4" s="11"/>
      <c r="G4" s="11"/>
      <c r="H4" s="11"/>
      <c r="I4" s="11"/>
    </row>
    <row r="5" spans="2:9" ht="18" customHeight="1">
      <c r="B5" s="12">
        <v>5981</v>
      </c>
      <c r="C5" s="11"/>
      <c r="D5" s="11"/>
      <c r="E5" s="11"/>
      <c r="F5" s="11"/>
      <c r="G5" s="11"/>
      <c r="H5" s="11"/>
      <c r="I5" s="11"/>
    </row>
    <row r="6" spans="2:9" ht="18" customHeight="1">
      <c r="B6" s="12">
        <v>1</v>
      </c>
      <c r="C6" s="11"/>
      <c r="D6" s="11"/>
      <c r="E6" s="11"/>
      <c r="F6" s="11"/>
      <c r="G6" s="11"/>
      <c r="H6" s="11"/>
      <c r="I6" s="11"/>
    </row>
    <row r="7" spans="2:9" ht="18" customHeight="1">
      <c r="B7" s="12">
        <v>5</v>
      </c>
      <c r="C7" s="11"/>
      <c r="D7" s="11"/>
      <c r="E7" s="11"/>
      <c r="F7" s="11"/>
      <c r="G7" s="11"/>
      <c r="H7" s="11"/>
      <c r="I7" s="11"/>
    </row>
    <row r="8" spans="2:9" ht="18" customHeight="1">
      <c r="B8" s="12">
        <v>12</v>
      </c>
      <c r="C8" s="11"/>
      <c r="D8" s="11"/>
      <c r="E8" s="11"/>
      <c r="F8" s="11"/>
      <c r="G8" s="11"/>
      <c r="H8" s="11"/>
      <c r="I8" s="11"/>
    </row>
    <row r="9" spans="2:9" ht="18" customHeight="1">
      <c r="B9" s="12">
        <v>162</v>
      </c>
      <c r="C9" s="11"/>
      <c r="D9" s="11"/>
      <c r="E9" s="11"/>
      <c r="F9" s="11"/>
      <c r="G9" s="11"/>
      <c r="H9" s="11"/>
      <c r="I9" s="11"/>
    </row>
    <row r="10" spans="2:9" ht="18" customHeight="1">
      <c r="B10" s="12">
        <v>90</v>
      </c>
      <c r="C10" s="11"/>
      <c r="D10" s="11"/>
      <c r="E10" s="11"/>
      <c r="F10" s="11"/>
      <c r="G10" s="11"/>
      <c r="H10" s="11"/>
      <c r="I10" s="11"/>
    </row>
    <row r="11" spans="2:9" ht="18" customHeight="1">
      <c r="B11" s="12">
        <v>1200</v>
      </c>
      <c r="C11" s="11"/>
      <c r="D11" s="11"/>
      <c r="E11" s="11"/>
      <c r="F11" s="11"/>
      <c r="G11" s="11"/>
      <c r="H11" s="11"/>
      <c r="I11" s="11"/>
    </row>
    <row r="12" spans="2:9" ht="18" customHeight="1">
      <c r="B12" s="12">
        <v>99</v>
      </c>
      <c r="C12" s="11"/>
      <c r="D12" s="11"/>
      <c r="E12" s="11"/>
      <c r="F12" s="11"/>
      <c r="G12" s="11"/>
      <c r="H12" s="11"/>
      <c r="I12" s="11"/>
    </row>
    <row r="13" spans="2:9" ht="18" customHeight="1">
      <c r="B13" s="12">
        <v>10</v>
      </c>
      <c r="C13" s="11"/>
      <c r="D13" s="11"/>
      <c r="E13" s="11"/>
      <c r="F13" s="11"/>
      <c r="G13" s="11"/>
      <c r="H13" s="11"/>
      <c r="I13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421875" style="112" customWidth="1"/>
    <col min="2" max="2" width="10.00390625" style="112" customWidth="1"/>
    <col min="3" max="3" width="12.00390625" style="112" bestFit="1" customWidth="1"/>
    <col min="4" max="4" width="12.57421875" style="112" customWidth="1"/>
    <col min="5" max="5" width="10.140625" style="112" bestFit="1" customWidth="1"/>
    <col min="6" max="6" width="9.28125" style="112" bestFit="1" customWidth="1"/>
    <col min="7" max="7" width="9.140625" style="112" customWidth="1"/>
    <col min="8" max="8" width="9.8515625" style="112" customWidth="1"/>
    <col min="9" max="16" width="9.140625" style="112" customWidth="1"/>
    <col min="17" max="17" width="12.00390625" style="112" hidden="1" customWidth="1"/>
    <col min="18" max="18" width="10.28125" style="112" hidden="1" customWidth="1"/>
    <col min="19" max="16384" width="9.140625" style="112" customWidth="1"/>
  </cols>
  <sheetData>
    <row r="1" spans="1:2" ht="35.25" customHeight="1">
      <c r="A1" s="148" t="s">
        <v>137</v>
      </c>
      <c r="B1" s="150" t="s">
        <v>142</v>
      </c>
    </row>
    <row r="2" ht="12.75"/>
    <row r="3" spans="1:2" ht="12.75">
      <c r="A3" s="200" t="s">
        <v>138</v>
      </c>
      <c r="B3" s="112" t="s">
        <v>88</v>
      </c>
    </row>
    <row r="4" spans="1:2" ht="12.75">
      <c r="A4" s="200"/>
      <c r="B4" s="112" t="s">
        <v>89</v>
      </c>
    </row>
    <row r="5" spans="1:2" ht="12.75">
      <c r="A5" s="115"/>
      <c r="B5" s="112" t="s">
        <v>90</v>
      </c>
    </row>
    <row r="6" spans="1:2" ht="12.75">
      <c r="A6" s="115"/>
      <c r="B6" s="112" t="s">
        <v>91</v>
      </c>
    </row>
    <row r="7" ht="6" customHeight="1">
      <c r="A7" s="115"/>
    </row>
    <row r="8" spans="1:5" ht="12.75">
      <c r="A8" s="115"/>
      <c r="B8" s="114" t="s">
        <v>92</v>
      </c>
      <c r="C8" s="114"/>
      <c r="D8" s="162">
        <v>1200</v>
      </c>
      <c r="E8" s="151"/>
    </row>
    <row r="9" spans="2:6" ht="12.75">
      <c r="B9" s="114" t="s">
        <v>93</v>
      </c>
      <c r="C9" s="114"/>
      <c r="D9" s="163">
        <f>IF(D8&gt;1000,D8*7%,0)</f>
        <v>84.00000000000001</v>
      </c>
      <c r="F9" s="164" t="s">
        <v>155</v>
      </c>
    </row>
    <row r="10" spans="2:6" ht="12.75">
      <c r="B10" s="114" t="s">
        <v>94</v>
      </c>
      <c r="C10" s="114"/>
      <c r="D10" s="162">
        <f>D8-D9</f>
        <v>1116</v>
      </c>
      <c r="F10" s="164" t="s">
        <v>156</v>
      </c>
    </row>
    <row r="11" ht="18.75" customHeight="1"/>
    <row r="12" spans="1:2" ht="12.75">
      <c r="A12" s="200" t="s">
        <v>139</v>
      </c>
      <c r="B12" s="115" t="s">
        <v>95</v>
      </c>
    </row>
    <row r="13" spans="1:2" ht="12.75">
      <c r="A13" s="200"/>
      <c r="B13" s="112" t="s">
        <v>96</v>
      </c>
    </row>
    <row r="14" spans="1:2" ht="12.75">
      <c r="A14" s="115"/>
      <c r="B14" s="112" t="s">
        <v>97</v>
      </c>
    </row>
    <row r="15" ht="12.75"/>
    <row r="16" spans="2:11" ht="12.75">
      <c r="B16" s="113" t="s">
        <v>98</v>
      </c>
      <c r="C16" s="114">
        <v>2003</v>
      </c>
      <c r="D16" s="114">
        <v>2004</v>
      </c>
      <c r="E16" s="114">
        <v>2005</v>
      </c>
      <c r="F16" s="114">
        <v>2006</v>
      </c>
      <c r="G16" s="114">
        <v>2007</v>
      </c>
      <c r="H16" s="114">
        <v>2008</v>
      </c>
      <c r="I16" s="114">
        <v>2009</v>
      </c>
      <c r="J16" s="114">
        <v>2010</v>
      </c>
      <c r="K16" s="114">
        <v>2011</v>
      </c>
    </row>
    <row r="17" spans="2:11" ht="12.75">
      <c r="B17" s="114" t="s">
        <v>32</v>
      </c>
      <c r="C17" s="116">
        <v>2500000</v>
      </c>
      <c r="D17" s="116">
        <v>2365000</v>
      </c>
      <c r="E17" s="116">
        <v>2305000</v>
      </c>
      <c r="F17" s="116">
        <v>2655000</v>
      </c>
      <c r="G17" s="116">
        <v>2855000</v>
      </c>
      <c r="H17" s="116">
        <v>2349000</v>
      </c>
      <c r="I17" s="116">
        <v>2765000</v>
      </c>
      <c r="J17" s="116">
        <v>2368000</v>
      </c>
      <c r="K17" s="116">
        <v>2165000</v>
      </c>
    </row>
    <row r="18" spans="2:11" ht="12.75">
      <c r="B18" s="114" t="s">
        <v>33</v>
      </c>
      <c r="C18" s="116">
        <v>2280000</v>
      </c>
      <c r="D18" s="116">
        <v>2475000</v>
      </c>
      <c r="E18" s="116">
        <v>2422500</v>
      </c>
      <c r="F18" s="116">
        <v>2228000</v>
      </c>
      <c r="G18" s="116">
        <v>2895000</v>
      </c>
      <c r="H18" s="116">
        <v>2475000</v>
      </c>
      <c r="I18" s="116">
        <v>2465000</v>
      </c>
      <c r="J18" s="116">
        <v>2275000</v>
      </c>
      <c r="K18" s="116">
        <v>2075000</v>
      </c>
    </row>
    <row r="19" spans="2:13" ht="12.75">
      <c r="B19" s="113" t="s">
        <v>99</v>
      </c>
      <c r="C19" s="117">
        <f aca="true" t="shared" si="0" ref="C19:K19">IF(príjmy&lt;výdavky,0,príjmy-výdavky)</f>
        <v>220000</v>
      </c>
      <c r="D19" s="117">
        <f t="shared" si="0"/>
        <v>0</v>
      </c>
      <c r="E19" s="117">
        <f t="shared" si="0"/>
        <v>0</v>
      </c>
      <c r="F19" s="117">
        <f t="shared" si="0"/>
        <v>427000</v>
      </c>
      <c r="G19" s="117">
        <f t="shared" si="0"/>
        <v>0</v>
      </c>
      <c r="H19" s="117">
        <f t="shared" si="0"/>
        <v>0</v>
      </c>
      <c r="I19" s="117">
        <f t="shared" si="0"/>
        <v>300000</v>
      </c>
      <c r="J19" s="117">
        <f t="shared" si="0"/>
        <v>93000</v>
      </c>
      <c r="K19" s="117">
        <f t="shared" si="0"/>
        <v>90000</v>
      </c>
      <c r="M19" s="164" t="s">
        <v>157</v>
      </c>
    </row>
    <row r="20" ht="18.75" customHeight="1">
      <c r="M20" s="164"/>
    </row>
    <row r="21" spans="1:2" ht="12.75">
      <c r="A21" s="200" t="s">
        <v>140</v>
      </c>
      <c r="B21" s="118" t="s">
        <v>100</v>
      </c>
    </row>
    <row r="22" spans="1:2" ht="12.75">
      <c r="A22" s="200"/>
      <c r="B22" s="118" t="s">
        <v>101</v>
      </c>
    </row>
    <row r="23" spans="1:2" ht="13.5" thickBot="1">
      <c r="A23" s="129"/>
      <c r="B23" s="118"/>
    </row>
    <row r="24" spans="2:7" ht="12.75">
      <c r="B24" s="119" t="s">
        <v>102</v>
      </c>
      <c r="C24" s="120"/>
      <c r="D24" s="121" t="s">
        <v>103</v>
      </c>
      <c r="E24" s="122" t="s">
        <v>104</v>
      </c>
      <c r="F24" s="139"/>
      <c r="G24" s="115"/>
    </row>
    <row r="25" spans="2:7" ht="12.75">
      <c r="B25" s="123" t="s">
        <v>105</v>
      </c>
      <c r="C25" s="124"/>
      <c r="D25" s="125">
        <v>25234</v>
      </c>
      <c r="E25" s="142">
        <v>38038</v>
      </c>
      <c r="F25" s="140"/>
      <c r="G25" s="115"/>
    </row>
    <row r="26" spans="2:7" ht="12.75">
      <c r="B26" s="123" t="s">
        <v>106</v>
      </c>
      <c r="C26" s="124"/>
      <c r="D26" s="125">
        <v>5559</v>
      </c>
      <c r="E26" s="142">
        <v>4019</v>
      </c>
      <c r="F26" s="141"/>
      <c r="G26" s="115"/>
    </row>
    <row r="27" spans="2:6" ht="12.75">
      <c r="B27" s="123" t="s">
        <v>107</v>
      </c>
      <c r="C27" s="124"/>
      <c r="D27" s="125">
        <v>20186</v>
      </c>
      <c r="E27" s="142">
        <v>15802</v>
      </c>
      <c r="F27" s="140"/>
    </row>
    <row r="28" spans="2:7" ht="12.75">
      <c r="B28" s="123" t="s">
        <v>108</v>
      </c>
      <c r="C28" s="124"/>
      <c r="D28" s="125">
        <v>13563</v>
      </c>
      <c r="E28" s="142">
        <v>5659</v>
      </c>
      <c r="F28" s="140"/>
      <c r="G28" s="118" t="s">
        <v>133</v>
      </c>
    </row>
    <row r="29" spans="2:7" ht="13.5" thickBot="1">
      <c r="B29" s="123" t="s">
        <v>109</v>
      </c>
      <c r="C29" s="124"/>
      <c r="D29" s="125">
        <v>7223</v>
      </c>
      <c r="E29" s="142">
        <v>5749</v>
      </c>
      <c r="F29" s="140"/>
      <c r="G29" s="112" t="s">
        <v>134</v>
      </c>
    </row>
    <row r="30" spans="2:12" ht="13.5" thickBot="1">
      <c r="B30" s="123" t="s">
        <v>110</v>
      </c>
      <c r="C30" s="124"/>
      <c r="D30" s="125">
        <v>12077</v>
      </c>
      <c r="E30" s="142">
        <v>28801</v>
      </c>
      <c r="F30" s="140"/>
      <c r="G30" s="193" t="s">
        <v>118</v>
      </c>
      <c r="H30" s="194"/>
      <c r="I30" s="194"/>
      <c r="J30" s="195"/>
      <c r="K30" s="198" t="str">
        <f>IF(SUM(D25:D37)&gt;SUM(E25:E37),"Ján Sľub","Jozef Čin")</f>
        <v>Jozef Čin</v>
      </c>
      <c r="L30" s="199"/>
    </row>
    <row r="31" spans="2:6" ht="12.75">
      <c r="B31" s="123" t="s">
        <v>111</v>
      </c>
      <c r="C31" s="124"/>
      <c r="D31" s="125">
        <v>7981</v>
      </c>
      <c r="E31" s="142">
        <v>5160</v>
      </c>
      <c r="F31" s="140"/>
    </row>
    <row r="32" spans="2:7" ht="12.75">
      <c r="B32" s="123" t="s">
        <v>112</v>
      </c>
      <c r="C32" s="124"/>
      <c r="D32" s="125">
        <v>7038</v>
      </c>
      <c r="E32" s="142">
        <v>15878</v>
      </c>
      <c r="F32" s="140"/>
      <c r="G32" s="164" t="s">
        <v>159</v>
      </c>
    </row>
    <row r="33" spans="2:7" ht="12.75">
      <c r="B33" s="123" t="s">
        <v>113</v>
      </c>
      <c r="C33" s="124"/>
      <c r="D33" s="125">
        <v>11228</v>
      </c>
      <c r="E33" s="142">
        <v>35241</v>
      </c>
      <c r="F33" s="140"/>
      <c r="G33" s="115"/>
    </row>
    <row r="34" spans="2:7" ht="12.75">
      <c r="B34" s="123" t="s">
        <v>114</v>
      </c>
      <c r="C34" s="124"/>
      <c r="D34" s="125">
        <v>8157</v>
      </c>
      <c r="E34" s="142">
        <v>18222</v>
      </c>
      <c r="F34" s="140"/>
      <c r="G34" s="115"/>
    </row>
    <row r="35" spans="2:7" ht="12.75">
      <c r="B35" s="123" t="s">
        <v>115</v>
      </c>
      <c r="C35" s="124"/>
      <c r="D35" s="125">
        <v>18088</v>
      </c>
      <c r="E35" s="142">
        <v>20027</v>
      </c>
      <c r="F35" s="140"/>
      <c r="G35" s="115"/>
    </row>
    <row r="36" spans="2:7" ht="12.75">
      <c r="B36" s="123" t="s">
        <v>116</v>
      </c>
      <c r="C36" s="124"/>
      <c r="D36" s="125">
        <v>10981</v>
      </c>
      <c r="E36" s="142">
        <v>5245</v>
      </c>
      <c r="F36" s="140"/>
      <c r="G36" s="115"/>
    </row>
    <row r="37" spans="2:7" ht="13.5" thickBot="1">
      <c r="B37" s="126" t="s">
        <v>117</v>
      </c>
      <c r="C37" s="127"/>
      <c r="D37" s="128">
        <v>17360</v>
      </c>
      <c r="E37" s="143">
        <v>10239</v>
      </c>
      <c r="F37" s="140"/>
      <c r="G37" s="115"/>
    </row>
    <row r="38" spans="2:7" ht="12.75">
      <c r="B38" s="129"/>
      <c r="D38" s="165">
        <f>SUM(D25:D37)</f>
        <v>164675</v>
      </c>
      <c r="E38" s="165">
        <f>SUM(E25:E37)</f>
        <v>208080</v>
      </c>
      <c r="F38" s="164" t="s">
        <v>160</v>
      </c>
      <c r="G38" s="115"/>
    </row>
    <row r="39" ht="18.75" customHeight="1"/>
    <row r="40" ht="12.75"/>
    <row r="41" spans="1:2" ht="12.75">
      <c r="A41" s="200" t="s">
        <v>141</v>
      </c>
      <c r="B41" s="115" t="s">
        <v>135</v>
      </c>
    </row>
    <row r="42" spans="1:2" ht="12.75">
      <c r="A42" s="200"/>
      <c r="B42" s="115" t="s">
        <v>136</v>
      </c>
    </row>
    <row r="43" spans="1:2" ht="12.75">
      <c r="A43" s="115"/>
      <c r="B43" s="115" t="s">
        <v>119</v>
      </c>
    </row>
    <row r="44" spans="1:2" ht="12.75">
      <c r="A44" s="115"/>
      <c r="B44" s="115" t="s">
        <v>120</v>
      </c>
    </row>
    <row r="45" spans="1:2" ht="12.75">
      <c r="A45" s="115"/>
      <c r="B45" s="115" t="s">
        <v>121</v>
      </c>
    </row>
    <row r="46" ht="6" customHeight="1"/>
    <row r="47" spans="2:18" ht="12.75">
      <c r="B47" s="196" t="s">
        <v>122</v>
      </c>
      <c r="C47" s="197"/>
      <c r="D47" s="130" t="s">
        <v>123</v>
      </c>
      <c r="G47" s="131" t="s">
        <v>124</v>
      </c>
      <c r="H47" s="132">
        <v>2000</v>
      </c>
      <c r="Q47" s="132" t="s">
        <v>122</v>
      </c>
      <c r="R47" s="132" t="s">
        <v>162</v>
      </c>
    </row>
    <row r="48" spans="2:18" ht="13.5" thickBot="1">
      <c r="B48" s="133" t="s">
        <v>125</v>
      </c>
      <c r="C48" s="134" t="s">
        <v>126</v>
      </c>
      <c r="D48" s="135" t="s">
        <v>127</v>
      </c>
      <c r="G48" s="131" t="s">
        <v>128</v>
      </c>
      <c r="H48" s="152">
        <f>IF(vklad&lt;2000,0,IF(vklad&lt;=C49,D49,IF(vklad&lt;=C50,D50,D51)))</f>
        <v>0.115</v>
      </c>
      <c r="Q48" s="132">
        <v>0</v>
      </c>
      <c r="R48" s="166">
        <v>0</v>
      </c>
    </row>
    <row r="49" spans="2:18" ht="12.75">
      <c r="B49" s="144">
        <v>2000</v>
      </c>
      <c r="C49" s="145">
        <v>19999</v>
      </c>
      <c r="D49" s="136">
        <v>0.115</v>
      </c>
      <c r="G49" s="131" t="s">
        <v>129</v>
      </c>
      <c r="H49" s="153">
        <f>ROUND(vklad*sadzba,0)</f>
        <v>230</v>
      </c>
      <c r="Q49" s="132">
        <v>2000</v>
      </c>
      <c r="R49" s="166">
        <v>0.115</v>
      </c>
    </row>
    <row r="50" spans="2:18" ht="12.75">
      <c r="B50" s="144">
        <v>20000</v>
      </c>
      <c r="C50" s="145">
        <v>49999</v>
      </c>
      <c r="D50" s="136">
        <v>0.12</v>
      </c>
      <c r="G50" s="137" t="s">
        <v>130</v>
      </c>
      <c r="H50" s="153">
        <f>úrok*20%</f>
        <v>46</v>
      </c>
      <c r="Q50" s="132">
        <v>20000</v>
      </c>
      <c r="R50" s="166">
        <v>0.12</v>
      </c>
    </row>
    <row r="51" spans="2:18" ht="12.75">
      <c r="B51" s="146">
        <v>50000</v>
      </c>
      <c r="C51" s="147" t="s">
        <v>131</v>
      </c>
      <c r="D51" s="138">
        <v>0.125</v>
      </c>
      <c r="G51" s="137" t="s">
        <v>132</v>
      </c>
      <c r="H51" s="153">
        <f>vklad+úrok-daň</f>
        <v>2184</v>
      </c>
      <c r="Q51" s="132">
        <v>50000</v>
      </c>
      <c r="R51" s="166">
        <v>0.125</v>
      </c>
    </row>
    <row r="52" ht="12.75">
      <c r="H52" s="154"/>
    </row>
    <row r="53" spans="17:18" ht="12.75">
      <c r="Q53" s="112" t="s">
        <v>128</v>
      </c>
      <c r="R53" s="152">
        <f>VLOOKUP(vklad,Q48:R51,2)</f>
        <v>0.115</v>
      </c>
    </row>
    <row r="54" ht="12.75"/>
    <row r="55" ht="12.75">
      <c r="B55" s="164" t="s">
        <v>161</v>
      </c>
    </row>
    <row r="56" ht="12.75">
      <c r="B56" s="164"/>
    </row>
    <row r="57" ht="12.75">
      <c r="B57" s="164" t="s">
        <v>163</v>
      </c>
    </row>
    <row r="58" ht="12.75">
      <c r="C58" s="167" t="s">
        <v>165</v>
      </c>
    </row>
    <row r="59" ht="12.75">
      <c r="B59" s="164" t="s">
        <v>164</v>
      </c>
    </row>
    <row r="64" ht="12.75"/>
    <row r="65" ht="12.75"/>
  </sheetData>
  <sheetProtection/>
  <mergeCells count="7">
    <mergeCell ref="G30:J30"/>
    <mergeCell ref="B47:C47"/>
    <mergeCell ref="K30:L30"/>
    <mergeCell ref="A3:A4"/>
    <mergeCell ref="A12:A13"/>
    <mergeCell ref="A21:A22"/>
    <mergeCell ref="A41:A42"/>
  </mergeCells>
  <conditionalFormatting sqref="H47">
    <cfRule type="cellIs" priority="1" dxfId="16" operator="lessThan" stopIfTrue="1">
      <formula>2000</formula>
    </cfRule>
  </conditionalFormatting>
  <printOptions/>
  <pageMargins left="0.75" right="0.75" top="1" bottom="1" header="0.4921259845" footer="0.4921259845"/>
  <pageSetup horizontalDpi="360" verticalDpi="36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16.00390625" style="36" customWidth="1"/>
    <col min="3" max="9" width="14.28125" style="36" customWidth="1"/>
    <col min="10" max="10" width="18.28125" style="36" bestFit="1" customWidth="1"/>
    <col min="11" max="16384" width="9.140625" style="36" customWidth="1"/>
  </cols>
  <sheetData>
    <row r="1" spans="1:9" ht="14.25">
      <c r="A1" s="2" t="s">
        <v>25</v>
      </c>
      <c r="D1" s="59"/>
      <c r="E1" s="59"/>
      <c r="F1" s="59"/>
      <c r="G1" s="59"/>
      <c r="H1" s="59"/>
      <c r="I1" s="59"/>
    </row>
    <row r="2" spans="2:10" ht="25.5" customHeight="1" thickBot="1">
      <c r="B2" s="201" t="s">
        <v>7</v>
      </c>
      <c r="C2" s="201"/>
      <c r="D2" s="201"/>
      <c r="E2" s="201"/>
      <c r="F2" s="201"/>
      <c r="G2" s="201"/>
      <c r="H2" s="201"/>
      <c r="I2" s="201"/>
      <c r="J2" s="201"/>
    </row>
    <row r="3" spans="2:10" s="3" customFormat="1" ht="39.75" thickBot="1" thickTop="1">
      <c r="B3" s="63" t="s">
        <v>8</v>
      </c>
      <c r="C3" s="64" t="s">
        <v>9</v>
      </c>
      <c r="D3" s="65" t="s">
        <v>10</v>
      </c>
      <c r="E3" s="64" t="s">
        <v>11</v>
      </c>
      <c r="F3" s="65" t="s">
        <v>12</v>
      </c>
      <c r="G3" s="65" t="s">
        <v>19</v>
      </c>
      <c r="H3" s="66" t="s">
        <v>13</v>
      </c>
      <c r="I3" s="66" t="s">
        <v>14</v>
      </c>
      <c r="J3" s="67" t="s">
        <v>24</v>
      </c>
    </row>
    <row r="4" spans="2:10" s="3" customFormat="1" ht="13.5" thickTop="1">
      <c r="B4" s="68" t="s">
        <v>15</v>
      </c>
      <c r="C4" s="69">
        <v>6250000</v>
      </c>
      <c r="D4" s="69">
        <f>C4/F4</f>
        <v>520833.3333333333</v>
      </c>
      <c r="E4" s="170">
        <f>D4/12</f>
        <v>43402.777777777774</v>
      </c>
      <c r="F4" s="70">
        <v>12</v>
      </c>
      <c r="G4" s="70">
        <v>4</v>
      </c>
      <c r="H4" s="71">
        <f>C4-D4*G4</f>
        <v>4166666.666666667</v>
      </c>
      <c r="I4" s="173">
        <f>(C4-H4)/C4</f>
        <v>0.33333333333333326</v>
      </c>
      <c r="J4" s="72" t="str">
        <f>IF(I4&lt;=0.65,"bežná údržba",IF(I4&lt;=0.9,"generálna prehliadka","vyradiť"))</f>
        <v>bežná údržba</v>
      </c>
    </row>
    <row r="5" spans="2:10" s="3" customFormat="1" ht="12.75">
      <c r="B5" s="73" t="s">
        <v>16</v>
      </c>
      <c r="C5" s="74">
        <v>3670000</v>
      </c>
      <c r="D5" s="74">
        <f>C5/F5</f>
        <v>611666.6666666666</v>
      </c>
      <c r="E5" s="171">
        <f>D5/12</f>
        <v>50972.22222222222</v>
      </c>
      <c r="F5" s="75">
        <v>6</v>
      </c>
      <c r="G5" s="75">
        <v>2</v>
      </c>
      <c r="H5" s="76">
        <f>C5-D5*G5</f>
        <v>2446666.666666667</v>
      </c>
      <c r="I5" s="174">
        <f>(C5-H5)/C5</f>
        <v>0.33333333333333326</v>
      </c>
      <c r="J5" s="77" t="str">
        <f>IF(I5&lt;=0.65,"bežná údržba",IF(I5&lt;=0.9,"generálna prehliadka","vyradiť"))</f>
        <v>bežná údržba</v>
      </c>
    </row>
    <row r="6" spans="2:10" s="3" customFormat="1" ht="12.75">
      <c r="B6" s="73" t="s">
        <v>17</v>
      </c>
      <c r="C6" s="74">
        <v>12690000</v>
      </c>
      <c r="D6" s="74">
        <f>C6/F6</f>
        <v>1057500</v>
      </c>
      <c r="E6" s="171">
        <f>D6/12</f>
        <v>88125</v>
      </c>
      <c r="F6" s="75">
        <v>12</v>
      </c>
      <c r="G6" s="75">
        <v>8</v>
      </c>
      <c r="H6" s="76">
        <f>C6-D6*G6</f>
        <v>4230000</v>
      </c>
      <c r="I6" s="174">
        <f>(C6-H6)/C6</f>
        <v>0.6666666666666666</v>
      </c>
      <c r="J6" s="77" t="str">
        <f>IF(I6&lt;=0.65,"bežná údržba",IF(I6&lt;=0.9,"generálna prehliadka","vyradiť"))</f>
        <v>generálna prehliadka</v>
      </c>
    </row>
    <row r="7" spans="2:10" s="3" customFormat="1" ht="13.5" thickBot="1">
      <c r="B7" s="78" t="s">
        <v>18</v>
      </c>
      <c r="C7" s="79">
        <v>67000</v>
      </c>
      <c r="D7" s="79">
        <f>C7/F7</f>
        <v>16750</v>
      </c>
      <c r="E7" s="172">
        <f>D7/12</f>
        <v>1395.8333333333333</v>
      </c>
      <c r="F7" s="80">
        <v>4</v>
      </c>
      <c r="G7" s="80">
        <v>3</v>
      </c>
      <c r="H7" s="81">
        <f>C7-D7*G7</f>
        <v>16750</v>
      </c>
      <c r="I7" s="175">
        <f>(C7-H7)/C7</f>
        <v>0.75</v>
      </c>
      <c r="J7" s="82" t="str">
        <f>IF(I7&lt;=0.65,"bežná údržba",IF(I7&lt;=0.9,"generálna prehliadka","vyradiť"))</f>
        <v>generálna prehliadka</v>
      </c>
    </row>
    <row r="8" spans="2:10" ht="15" thickTop="1">
      <c r="B8" s="60"/>
      <c r="C8" s="60"/>
      <c r="D8" s="60"/>
      <c r="E8" s="60"/>
      <c r="F8" s="60"/>
      <c r="G8" s="61"/>
      <c r="H8" s="60"/>
      <c r="I8" s="60"/>
      <c r="J8" s="60"/>
    </row>
    <row r="9" spans="2:5" ht="14.25">
      <c r="B9" s="62" t="s">
        <v>20</v>
      </c>
      <c r="C9" s="62"/>
      <c r="D9" s="3"/>
      <c r="E9" s="176" t="s">
        <v>143</v>
      </c>
    </row>
    <row r="10" spans="2:5" ht="14.25">
      <c r="B10" s="62"/>
      <c r="C10" s="62" t="s">
        <v>21</v>
      </c>
      <c r="D10" s="3"/>
      <c r="E10" s="3"/>
    </row>
    <row r="11" spans="2:5" ht="14.25">
      <c r="B11" s="62"/>
      <c r="C11" s="62" t="s">
        <v>22</v>
      </c>
      <c r="D11" s="3"/>
      <c r="E11" s="3"/>
    </row>
    <row r="12" spans="2:5" ht="14.25">
      <c r="B12" s="62"/>
      <c r="C12" s="62" t="s">
        <v>23</v>
      </c>
      <c r="D12" s="3"/>
      <c r="E12" s="3"/>
    </row>
    <row r="15" ht="14.25">
      <c r="B15" s="169" t="s">
        <v>166</v>
      </c>
    </row>
    <row r="16" ht="14.25">
      <c r="B16" s="169" t="s">
        <v>167</v>
      </c>
    </row>
    <row r="17" ht="14.25">
      <c r="B17" s="169" t="s">
        <v>168</v>
      </c>
    </row>
    <row r="18" spans="2:4" ht="14.25">
      <c r="B18" s="169" t="s">
        <v>169</v>
      </c>
      <c r="D18" s="168" t="s">
        <v>170</v>
      </c>
    </row>
    <row r="19" ht="14.25">
      <c r="B19" s="169" t="s">
        <v>171</v>
      </c>
    </row>
    <row r="21" ht="14.25">
      <c r="B21" s="168" t="s">
        <v>172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83" customWidth="1"/>
    <col min="2" max="2" width="13.421875" style="83" bestFit="1" customWidth="1"/>
    <col min="3" max="3" width="13.421875" style="86" customWidth="1"/>
    <col min="4" max="4" width="14.28125" style="86" bestFit="1" customWidth="1"/>
    <col min="5" max="6" width="13.421875" style="86" customWidth="1"/>
    <col min="7" max="7" width="14.421875" style="86" bestFit="1" customWidth="1"/>
    <col min="8" max="8" width="15.57421875" style="86" bestFit="1" customWidth="1"/>
    <col min="9" max="10" width="13.421875" style="86" customWidth="1"/>
    <col min="11" max="11" width="14.421875" style="86" bestFit="1" customWidth="1"/>
    <col min="12" max="13" width="18.140625" style="86" bestFit="1" customWidth="1"/>
    <col min="14" max="14" width="13.421875" style="86" customWidth="1"/>
    <col min="15" max="16384" width="9.140625" style="83" customWidth="1"/>
  </cols>
  <sheetData>
    <row r="1" ht="12.75">
      <c r="A1" s="2" t="s">
        <v>25</v>
      </c>
    </row>
    <row r="2" ht="12.75">
      <c r="A2" s="2"/>
    </row>
    <row r="3" spans="1:14" ht="48" customHeight="1">
      <c r="A3" s="110" t="s">
        <v>26</v>
      </c>
      <c r="B3" s="86" t="s">
        <v>27</v>
      </c>
      <c r="C3" s="86" t="s">
        <v>28</v>
      </c>
      <c r="D3" s="86" t="s">
        <v>29</v>
      </c>
      <c r="E3" s="86" t="s">
        <v>30</v>
      </c>
      <c r="F3" s="86" t="s">
        <v>31</v>
      </c>
      <c r="G3" s="86" t="s">
        <v>32</v>
      </c>
      <c r="H3" s="86" t="s">
        <v>33</v>
      </c>
      <c r="I3" s="86" t="s">
        <v>34</v>
      </c>
      <c r="J3" s="86" t="s">
        <v>35</v>
      </c>
      <c r="K3" s="86" t="s">
        <v>36</v>
      </c>
      <c r="L3" s="86" t="s">
        <v>37</v>
      </c>
      <c r="M3" s="86" t="s">
        <v>38</v>
      </c>
      <c r="N3" s="86" t="s">
        <v>39</v>
      </c>
    </row>
    <row r="4" spans="1:15" ht="13.5" customHeight="1">
      <c r="A4" s="85" t="s">
        <v>40</v>
      </c>
      <c r="B4" s="184">
        <v>236890</v>
      </c>
      <c r="C4" s="185">
        <f>B4*$C$11</f>
        <v>28426.8</v>
      </c>
      <c r="D4" s="186">
        <f>(B4+C4)*$C$12</f>
        <v>61022.864</v>
      </c>
      <c r="E4" s="187">
        <f>ROUND(SUM(B4:D4),0)</f>
        <v>326340</v>
      </c>
      <c r="F4" s="177">
        <v>35</v>
      </c>
      <c r="G4" s="178">
        <f>E4*F4</f>
        <v>11421900</v>
      </c>
      <c r="H4" s="188">
        <f>(B4+D4)*F4</f>
        <v>10426950.24</v>
      </c>
      <c r="I4" s="179">
        <f>G4-H4</f>
        <v>994949.7599999998</v>
      </c>
      <c r="J4" s="189">
        <f>IF(I4&lt;1000000,55%*I4,42%*I4)</f>
        <v>547222.3679999999</v>
      </c>
      <c r="K4" s="180">
        <f>I4-J4</f>
        <v>447727.3919999999</v>
      </c>
      <c r="L4" s="187">
        <f>IF(K4&lt;200000,K4*15%,IF(K4&lt;500000,K4*20%,K4*25%))</f>
        <v>89545.47839999998</v>
      </c>
      <c r="M4" s="180">
        <f>K4-L4</f>
        <v>358181.9135999999</v>
      </c>
      <c r="N4" s="187">
        <f>IF(OR(F4=20,M4&gt;400000),1%*M4,0)</f>
        <v>0</v>
      </c>
      <c r="O4" s="181"/>
    </row>
    <row r="5" spans="1:15" ht="13.5" customHeight="1">
      <c r="A5" s="85" t="s">
        <v>41</v>
      </c>
      <c r="B5" s="184">
        <v>355500</v>
      </c>
      <c r="C5" s="185">
        <f>B5*$C$11</f>
        <v>42660</v>
      </c>
      <c r="D5" s="186">
        <f>(B5+C5)*$C$12</f>
        <v>91576.8</v>
      </c>
      <c r="E5" s="187">
        <f>ROUND(SUM(B5:D5),0)</f>
        <v>489737</v>
      </c>
      <c r="F5" s="177">
        <v>24</v>
      </c>
      <c r="G5" s="178">
        <f>E5*F5</f>
        <v>11753688</v>
      </c>
      <c r="H5" s="188">
        <f>(B5+D5)*F5</f>
        <v>10729843.2</v>
      </c>
      <c r="I5" s="179">
        <f>G5-H5</f>
        <v>1023844.8000000007</v>
      </c>
      <c r="J5" s="189">
        <f>IF(I5&lt;1000000,55%*I5,42%*I5)</f>
        <v>430014.8160000003</v>
      </c>
      <c r="K5" s="180">
        <f>I5-J5</f>
        <v>593829.9840000004</v>
      </c>
      <c r="L5" s="187">
        <f>IF(K5&lt;200000,K5*15%,IF(K5&lt;500000,K5*20%,K5*25%))</f>
        <v>148457.4960000001</v>
      </c>
      <c r="M5" s="180">
        <f>K5-L5</f>
        <v>445372.4880000003</v>
      </c>
      <c r="N5" s="187">
        <f>IF(OR(F5=20,M5&gt;400000),1%*M5,0)</f>
        <v>4453.724880000003</v>
      </c>
      <c r="O5" s="181"/>
    </row>
    <row r="6" spans="1:15" ht="13.5" customHeight="1">
      <c r="A6" s="85" t="s">
        <v>42</v>
      </c>
      <c r="B6" s="184">
        <v>720000</v>
      </c>
      <c r="C6" s="185">
        <f>B6*$C$11</f>
        <v>86400</v>
      </c>
      <c r="D6" s="186">
        <f>(B6+C6)*$C$12</f>
        <v>185472</v>
      </c>
      <c r="E6" s="187">
        <f>ROUND(SUM(B6:D6),0)</f>
        <v>991872</v>
      </c>
      <c r="F6" s="177">
        <v>18</v>
      </c>
      <c r="G6" s="178">
        <f>E6*F6</f>
        <v>17853696</v>
      </c>
      <c r="H6" s="188">
        <f>(B6+D6)*F6</f>
        <v>16298496</v>
      </c>
      <c r="I6" s="179">
        <f>G6-H6</f>
        <v>1555200</v>
      </c>
      <c r="J6" s="189">
        <f>IF(I6&lt;1000000,55%*I6,42%*I6)</f>
        <v>653184</v>
      </c>
      <c r="K6" s="180">
        <f>I6-J6</f>
        <v>902016</v>
      </c>
      <c r="L6" s="187">
        <f>IF(K6&lt;200000,K6*15%,IF(K6&lt;500000,K6*20%,K6*25%))</f>
        <v>225504</v>
      </c>
      <c r="M6" s="180">
        <f>K6-L6</f>
        <v>676512</v>
      </c>
      <c r="N6" s="187">
        <f>IF(OR(F6=20,M6&gt;400000),1%*M6,0)</f>
        <v>6765.12</v>
      </c>
      <c r="O6" s="181"/>
    </row>
    <row r="7" spans="1:15" ht="13.5" customHeight="1">
      <c r="A7" s="85" t="s">
        <v>43</v>
      </c>
      <c r="B7" s="184">
        <v>689900</v>
      </c>
      <c r="C7" s="185">
        <f>B7*$C$11</f>
        <v>82788</v>
      </c>
      <c r="D7" s="186">
        <f>(B7+C7)*$C$12</f>
        <v>177718.24000000002</v>
      </c>
      <c r="E7" s="187">
        <f>ROUND(SUM(B7:D7),0)</f>
        <v>950406</v>
      </c>
      <c r="F7" s="177">
        <v>5</v>
      </c>
      <c r="G7" s="178">
        <f>E7*F7</f>
        <v>4752030</v>
      </c>
      <c r="H7" s="188">
        <f>(B7+D7)*F7</f>
        <v>4338091.2</v>
      </c>
      <c r="I7" s="179">
        <f>G7-H7</f>
        <v>413938.7999999998</v>
      </c>
      <c r="J7" s="189">
        <f>IF(I7&lt;1000000,55%*I7,42%*I7)</f>
        <v>227666.3399999999</v>
      </c>
      <c r="K7" s="180">
        <f>I7-J7</f>
        <v>186272.4599999999</v>
      </c>
      <c r="L7" s="187">
        <f>IF(K7&lt;200000,K7*15%,IF(K7&lt;500000,K7*20%,K7*25%))</f>
        <v>27940.868999999984</v>
      </c>
      <c r="M7" s="180">
        <f>K7-L7</f>
        <v>158331.59099999993</v>
      </c>
      <c r="N7" s="187">
        <f>IF(OR(F7=20,M7&gt;400000),1%*M7,0)</f>
        <v>0</v>
      </c>
      <c r="O7" s="181"/>
    </row>
    <row r="8" spans="1:15" ht="13.5" customHeight="1">
      <c r="A8" s="85" t="s">
        <v>44</v>
      </c>
      <c r="B8" s="182">
        <f aca="true" t="shared" si="0" ref="B8:N8">SUM(B4:B7)</f>
        <v>2002290</v>
      </c>
      <c r="C8" s="182">
        <f t="shared" si="0"/>
        <v>240274.8</v>
      </c>
      <c r="D8" s="182">
        <f t="shared" si="0"/>
        <v>515789.904</v>
      </c>
      <c r="E8" s="182">
        <f t="shared" si="0"/>
        <v>2758355</v>
      </c>
      <c r="F8" s="183">
        <f t="shared" si="0"/>
        <v>82</v>
      </c>
      <c r="G8" s="182">
        <f t="shared" si="0"/>
        <v>45781314</v>
      </c>
      <c r="H8" s="182">
        <f t="shared" si="0"/>
        <v>41793380.64</v>
      </c>
      <c r="I8" s="182">
        <f t="shared" si="0"/>
        <v>3987933.3600000003</v>
      </c>
      <c r="J8" s="182">
        <f t="shared" si="0"/>
        <v>1858087.524</v>
      </c>
      <c r="K8" s="182">
        <f t="shared" si="0"/>
        <v>2129845.836</v>
      </c>
      <c r="L8" s="182">
        <f t="shared" si="0"/>
        <v>491447.84340000007</v>
      </c>
      <c r="M8" s="182">
        <f t="shared" si="0"/>
        <v>1638397.9926000002</v>
      </c>
      <c r="N8" s="182">
        <f t="shared" si="0"/>
        <v>11218.844880000004</v>
      </c>
      <c r="O8" s="181"/>
    </row>
    <row r="9" ht="13.5" customHeight="1">
      <c r="B9" s="190" t="s">
        <v>183</v>
      </c>
    </row>
    <row r="10" spans="2:14" ht="12.75">
      <c r="B10" s="111" t="s">
        <v>76</v>
      </c>
      <c r="C10" s="83"/>
      <c r="M10" s="83"/>
      <c r="N10" s="155"/>
    </row>
    <row r="11" spans="2:14" ht="12.75">
      <c r="B11" s="83" t="s">
        <v>45</v>
      </c>
      <c r="C11" s="84">
        <v>0.12</v>
      </c>
      <c r="M11" s="83"/>
      <c r="N11" s="155"/>
    </row>
    <row r="12" spans="2:3" ht="12.75">
      <c r="B12" s="83" t="s">
        <v>46</v>
      </c>
      <c r="C12" s="84">
        <v>0.23</v>
      </c>
    </row>
    <row r="13" spans="2:3" ht="15">
      <c r="B13" s="83" t="s">
        <v>47</v>
      </c>
      <c r="C13" s="83"/>
    </row>
    <row r="14" spans="2:3" ht="15">
      <c r="B14" s="83" t="s">
        <v>48</v>
      </c>
      <c r="C14" s="83"/>
    </row>
    <row r="15" spans="2:3" ht="12.75">
      <c r="B15" s="83" t="s">
        <v>49</v>
      </c>
      <c r="C15" s="83"/>
    </row>
    <row r="16" spans="2:3" ht="12.75">
      <c r="B16" s="83" t="s">
        <v>50</v>
      </c>
      <c r="C16" s="83"/>
    </row>
    <row r="17" spans="2:3" ht="12.75">
      <c r="B17" s="83" t="s">
        <v>51</v>
      </c>
      <c r="C17" s="83"/>
    </row>
    <row r="18" ht="12.75">
      <c r="C18" s="83"/>
    </row>
    <row r="19" spans="2:3" ht="12.75">
      <c r="B19" s="83" t="s">
        <v>52</v>
      </c>
      <c r="C19" s="83"/>
    </row>
    <row r="22" ht="12.75">
      <c r="B22" s="169" t="s">
        <v>173</v>
      </c>
    </row>
    <row r="23" ht="12.75">
      <c r="B23" s="169" t="s">
        <v>174</v>
      </c>
    </row>
    <row r="24" ht="12.75">
      <c r="B24" s="169" t="s">
        <v>175</v>
      </c>
    </row>
    <row r="25" ht="12.75">
      <c r="B25" s="169" t="s">
        <v>176</v>
      </c>
    </row>
    <row r="26" ht="12.75">
      <c r="B26" s="169" t="s">
        <v>177</v>
      </c>
    </row>
    <row r="27" ht="12.75">
      <c r="B27" s="169" t="s">
        <v>178</v>
      </c>
    </row>
    <row r="28" ht="12.75">
      <c r="B28" s="169" t="s">
        <v>179</v>
      </c>
    </row>
    <row r="29" ht="12.75">
      <c r="B29" s="169" t="s">
        <v>180</v>
      </c>
    </row>
    <row r="30" ht="12.75">
      <c r="B30" s="169" t="s">
        <v>181</v>
      </c>
    </row>
    <row r="31" ht="12.75">
      <c r="B31" s="169" t="s">
        <v>182</v>
      </c>
    </row>
    <row r="32" ht="12.75">
      <c r="B32" s="169" t="s">
        <v>184</v>
      </c>
    </row>
    <row r="34" ht="12.75">
      <c r="B34" s="168" t="s">
        <v>172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5.8515625" style="88" customWidth="1"/>
    <col min="2" max="2" width="16.140625" style="88" customWidth="1"/>
    <col min="3" max="3" width="14.00390625" style="88" customWidth="1"/>
    <col min="4" max="4" width="12.140625" style="88" customWidth="1"/>
    <col min="5" max="8" width="10.7109375" style="88" customWidth="1"/>
    <col min="9" max="9" width="13.28125" style="88" customWidth="1"/>
    <col min="10" max="10" width="23.421875" style="88" customWidth="1"/>
    <col min="11" max="11" width="14.00390625" style="88" customWidth="1"/>
    <col min="12" max="16384" width="9.140625" style="88" customWidth="1"/>
  </cols>
  <sheetData>
    <row r="1" spans="1:10" ht="17.25" customHeight="1">
      <c r="A1" s="218" t="s">
        <v>53</v>
      </c>
      <c r="B1" s="218" t="s">
        <v>54</v>
      </c>
      <c r="C1" s="220" t="s">
        <v>55</v>
      </c>
      <c r="D1" s="221"/>
      <c r="E1" s="221"/>
      <c r="F1" s="221"/>
      <c r="G1" s="221"/>
      <c r="H1" s="222"/>
      <c r="I1" s="202" t="s">
        <v>56</v>
      </c>
      <c r="J1" s="202" t="s">
        <v>57</v>
      </c>
    </row>
    <row r="2" spans="1:10" ht="22.5" customHeight="1">
      <c r="A2" s="219"/>
      <c r="B2" s="219"/>
      <c r="C2" s="89" t="s">
        <v>58</v>
      </c>
      <c r="D2" s="89" t="s">
        <v>59</v>
      </c>
      <c r="E2" s="89" t="s">
        <v>60</v>
      </c>
      <c r="F2" s="89" t="s">
        <v>61</v>
      </c>
      <c r="G2" s="89" t="s">
        <v>62</v>
      </c>
      <c r="H2" s="87" t="s">
        <v>63</v>
      </c>
      <c r="I2" s="203"/>
      <c r="J2" s="203"/>
    </row>
    <row r="3" spans="1:10" s="104" customFormat="1" ht="15.75" customHeight="1">
      <c r="A3" s="97" t="s">
        <v>64</v>
      </c>
      <c r="B3" s="98">
        <f>SUM(C3:H3)</f>
        <v>585533</v>
      </c>
      <c r="C3" s="99">
        <v>546685</v>
      </c>
      <c r="D3" s="99">
        <v>27434</v>
      </c>
      <c r="E3" s="100">
        <v>755</v>
      </c>
      <c r="F3" s="99">
        <v>9591</v>
      </c>
      <c r="G3" s="100">
        <v>526</v>
      </c>
      <c r="H3" s="101">
        <v>542</v>
      </c>
      <c r="I3" s="102">
        <f>ROUNDUP(AVERAGE(D3:H3),0)</f>
        <v>7770</v>
      </c>
      <c r="J3" s="103" t="str">
        <f>IF(B3&gt;700000,"áno","nie")</f>
        <v>nie</v>
      </c>
    </row>
    <row r="4" spans="1:10" s="104" customFormat="1" ht="15.75" customHeight="1">
      <c r="A4" s="97" t="s">
        <v>65</v>
      </c>
      <c r="B4" s="98">
        <f aca="true" t="shared" si="0" ref="B4:B10">SUM(C4:H4)</f>
        <v>546195</v>
      </c>
      <c r="C4" s="99">
        <v>407246</v>
      </c>
      <c r="D4" s="99">
        <v>130740</v>
      </c>
      <c r="E4" s="99">
        <v>3163</v>
      </c>
      <c r="F4" s="99">
        <v>4778</v>
      </c>
      <c r="G4" s="100">
        <v>72</v>
      </c>
      <c r="H4" s="101">
        <v>196</v>
      </c>
      <c r="I4" s="102">
        <f aca="true" t="shared" si="1" ref="I4:I10">ROUNDUP(AVERAGE(D4:H4),0)</f>
        <v>27790</v>
      </c>
      <c r="J4" s="103" t="str">
        <f aca="true" t="shared" si="2" ref="J4:J10">IF(B4&gt;700000,"áno","nie")</f>
        <v>nie</v>
      </c>
    </row>
    <row r="5" spans="1:10" s="104" customFormat="1" ht="15.75" customHeight="1">
      <c r="A5" s="97" t="s">
        <v>66</v>
      </c>
      <c r="B5" s="98">
        <f t="shared" si="0"/>
        <v>598569</v>
      </c>
      <c r="C5" s="99">
        <v>589344</v>
      </c>
      <c r="D5" s="99">
        <v>1058</v>
      </c>
      <c r="E5" s="99">
        <v>1547</v>
      </c>
      <c r="F5" s="99">
        <v>6319</v>
      </c>
      <c r="G5" s="100">
        <v>87</v>
      </c>
      <c r="H5" s="101">
        <v>214</v>
      </c>
      <c r="I5" s="102">
        <f t="shared" si="1"/>
        <v>1845</v>
      </c>
      <c r="J5" s="103" t="str">
        <f t="shared" si="2"/>
        <v>nie</v>
      </c>
    </row>
    <row r="6" spans="1:10" s="104" customFormat="1" ht="15.75" customHeight="1">
      <c r="A6" s="97" t="s">
        <v>67</v>
      </c>
      <c r="B6" s="98">
        <f t="shared" si="0"/>
        <v>705997</v>
      </c>
      <c r="C6" s="99">
        <v>499761</v>
      </c>
      <c r="D6" s="99">
        <v>196609</v>
      </c>
      <c r="E6" s="99">
        <v>4741</v>
      </c>
      <c r="F6" s="99">
        <v>4526</v>
      </c>
      <c r="G6" s="100">
        <v>85</v>
      </c>
      <c r="H6" s="101">
        <v>275</v>
      </c>
      <c r="I6" s="102">
        <f t="shared" si="1"/>
        <v>41248</v>
      </c>
      <c r="J6" s="103" t="str">
        <f t="shared" si="2"/>
        <v>áno</v>
      </c>
    </row>
    <row r="7" spans="1:10" s="104" customFormat="1" ht="15.75" customHeight="1">
      <c r="A7" s="97" t="s">
        <v>68</v>
      </c>
      <c r="B7" s="98">
        <f t="shared" si="0"/>
        <v>684696</v>
      </c>
      <c r="C7" s="99">
        <v>674766</v>
      </c>
      <c r="D7" s="100">
        <v>660</v>
      </c>
      <c r="E7" s="99">
        <v>2795</v>
      </c>
      <c r="F7" s="99">
        <v>6123</v>
      </c>
      <c r="G7" s="100">
        <v>129</v>
      </c>
      <c r="H7" s="101">
        <v>223</v>
      </c>
      <c r="I7" s="102">
        <f t="shared" si="1"/>
        <v>1986</v>
      </c>
      <c r="J7" s="103" t="str">
        <f t="shared" si="2"/>
        <v>nie</v>
      </c>
    </row>
    <row r="8" spans="1:10" s="104" customFormat="1" ht="15.75" customHeight="1">
      <c r="A8" s="97" t="s">
        <v>69</v>
      </c>
      <c r="B8" s="98">
        <f t="shared" si="0"/>
        <v>652384</v>
      </c>
      <c r="C8" s="99">
        <v>553865</v>
      </c>
      <c r="D8" s="99">
        <v>77795</v>
      </c>
      <c r="E8" s="99">
        <v>15463</v>
      </c>
      <c r="F8" s="99">
        <v>4560</v>
      </c>
      <c r="G8" s="100">
        <v>148</v>
      </c>
      <c r="H8" s="101">
        <v>553</v>
      </c>
      <c r="I8" s="102">
        <f t="shared" si="1"/>
        <v>19704</v>
      </c>
      <c r="J8" s="103" t="str">
        <f t="shared" si="2"/>
        <v>nie</v>
      </c>
    </row>
    <row r="9" spans="1:10" s="104" customFormat="1" ht="15.75" customHeight="1">
      <c r="A9" s="97" t="s">
        <v>70</v>
      </c>
      <c r="B9" s="98">
        <f t="shared" si="0"/>
        <v>780616</v>
      </c>
      <c r="C9" s="99">
        <v>716441</v>
      </c>
      <c r="D9" s="100">
        <v>817</v>
      </c>
      <c r="E9" s="99">
        <v>31653</v>
      </c>
      <c r="F9" s="99">
        <v>3774</v>
      </c>
      <c r="G9" s="99">
        <v>21150</v>
      </c>
      <c r="H9" s="105">
        <v>6781</v>
      </c>
      <c r="I9" s="102">
        <f t="shared" si="1"/>
        <v>12835</v>
      </c>
      <c r="J9" s="103" t="str">
        <f t="shared" si="2"/>
        <v>áno</v>
      </c>
    </row>
    <row r="10" spans="1:10" s="104" customFormat="1" ht="15.75" customHeight="1">
      <c r="A10" s="97" t="s">
        <v>71</v>
      </c>
      <c r="B10" s="98">
        <f t="shared" si="0"/>
        <v>750947</v>
      </c>
      <c r="C10" s="99">
        <v>626746</v>
      </c>
      <c r="D10" s="99">
        <v>85415</v>
      </c>
      <c r="E10" s="99">
        <v>29803</v>
      </c>
      <c r="F10" s="99">
        <v>4949</v>
      </c>
      <c r="G10" s="99">
        <v>2004</v>
      </c>
      <c r="H10" s="105">
        <v>2030</v>
      </c>
      <c r="I10" s="102">
        <f t="shared" si="1"/>
        <v>24841</v>
      </c>
      <c r="J10" s="103" t="str">
        <f t="shared" si="2"/>
        <v>áno</v>
      </c>
    </row>
    <row r="11" s="104" customFormat="1" ht="12.75">
      <c r="J11" s="106"/>
    </row>
    <row r="12" s="104" customFormat="1" ht="15.75" customHeight="1"/>
    <row r="13" spans="1:8" s="104" customFormat="1" ht="15.75" customHeight="1">
      <c r="A13" s="204" t="s">
        <v>72</v>
      </c>
      <c r="B13" s="205"/>
      <c r="C13" s="208" t="s">
        <v>73</v>
      </c>
      <c r="D13" s="209"/>
      <c r="E13" s="210" t="s">
        <v>74</v>
      </c>
      <c r="F13" s="212" t="s">
        <v>75</v>
      </c>
      <c r="G13" s="213"/>
      <c r="H13" s="227" t="s">
        <v>190</v>
      </c>
    </row>
    <row r="14" spans="1:8" s="104" customFormat="1" ht="30" customHeight="1">
      <c r="A14" s="206"/>
      <c r="B14" s="207"/>
      <c r="C14" s="90">
        <v>33300</v>
      </c>
      <c r="D14" s="91">
        <v>37037</v>
      </c>
      <c r="E14" s="211"/>
      <c r="F14" s="214"/>
      <c r="G14" s="215"/>
      <c r="H14" s="227"/>
    </row>
    <row r="15" spans="1:8" s="104" customFormat="1" ht="15.75" customHeight="1">
      <c r="A15" s="223" t="s">
        <v>58</v>
      </c>
      <c r="B15" s="224"/>
      <c r="C15" s="107">
        <v>4519328</v>
      </c>
      <c r="D15" s="105">
        <v>4614854</v>
      </c>
      <c r="E15" s="103" t="str">
        <f>IF(D15&gt;C15,"vzrástlo","pokleslo")</f>
        <v>vzrástlo</v>
      </c>
      <c r="F15" s="216" t="str">
        <f>IF(E15="vzrástlo",IF((D15-C15)&gt;90000,"vysoký prírastok","mierny prírastok"),IF((C15-D15)&gt;40000,"vysoký pokles","mierny pokles"))</f>
        <v>vysoký prírastok</v>
      </c>
      <c r="G15" s="217"/>
      <c r="H15" s="226">
        <f aca="true" t="shared" si="3" ref="H15:H21">D15-C15</f>
        <v>95526</v>
      </c>
    </row>
    <row r="16" spans="1:9" s="104" customFormat="1" ht="15.75" customHeight="1">
      <c r="A16" s="223" t="s">
        <v>59</v>
      </c>
      <c r="B16" s="224"/>
      <c r="C16" s="107">
        <v>567296</v>
      </c>
      <c r="D16" s="105">
        <v>520528</v>
      </c>
      <c r="E16" s="103" t="str">
        <f aca="true" t="shared" si="4" ref="E16:E21">IF(D16&gt;C16,"vzrástlo","pokleslo")</f>
        <v>pokleslo</v>
      </c>
      <c r="F16" s="216" t="str">
        <f aca="true" t="shared" si="5" ref="F16:F21">IF(E16="vzrástlo",IF((D16-C16)&gt;90000,"vysoký prírastok","mierny prírastok"),IF((C16-D16)&gt;40000,"vysoký pokles","mierny pokles"))</f>
        <v>vysoký pokles</v>
      </c>
      <c r="G16" s="217"/>
      <c r="H16" s="226">
        <f t="shared" si="3"/>
        <v>-46768</v>
      </c>
      <c r="I16" s="108"/>
    </row>
    <row r="17" spans="1:8" s="104" customFormat="1" ht="15.75" customHeight="1">
      <c r="A17" s="223" t="s">
        <v>60</v>
      </c>
      <c r="B17" s="224"/>
      <c r="C17" s="107">
        <v>75802</v>
      </c>
      <c r="D17" s="105">
        <v>89920</v>
      </c>
      <c r="E17" s="103" t="str">
        <f t="shared" si="4"/>
        <v>vzrástlo</v>
      </c>
      <c r="F17" s="216" t="str">
        <f t="shared" si="5"/>
        <v>mierny prírastok</v>
      </c>
      <c r="G17" s="217"/>
      <c r="H17" s="226">
        <f t="shared" si="3"/>
        <v>14118</v>
      </c>
    </row>
    <row r="18" spans="1:8" s="104" customFormat="1" ht="15.75" customHeight="1">
      <c r="A18" s="223" t="s">
        <v>61</v>
      </c>
      <c r="B18" s="224"/>
      <c r="C18" s="107">
        <v>52884</v>
      </c>
      <c r="D18" s="105">
        <v>44620</v>
      </c>
      <c r="E18" s="103" t="str">
        <f t="shared" si="4"/>
        <v>pokleslo</v>
      </c>
      <c r="F18" s="216" t="str">
        <f t="shared" si="5"/>
        <v>mierny pokles</v>
      </c>
      <c r="G18" s="217"/>
      <c r="H18" s="226">
        <f t="shared" si="3"/>
        <v>-8264</v>
      </c>
    </row>
    <row r="19" spans="1:8" s="104" customFormat="1" ht="15.75" customHeight="1">
      <c r="A19" s="223" t="s">
        <v>62</v>
      </c>
      <c r="B19" s="224"/>
      <c r="C19" s="107">
        <v>17197</v>
      </c>
      <c r="D19" s="105">
        <v>24201</v>
      </c>
      <c r="E19" s="103" t="str">
        <f t="shared" si="4"/>
        <v>vzrástlo</v>
      </c>
      <c r="F19" s="216" t="str">
        <f t="shared" si="5"/>
        <v>mierny prírastok</v>
      </c>
      <c r="G19" s="217"/>
      <c r="H19" s="226">
        <f t="shared" si="3"/>
        <v>7004</v>
      </c>
    </row>
    <row r="20" spans="1:8" s="104" customFormat="1" ht="15.75" customHeight="1">
      <c r="A20" s="223" t="s">
        <v>63</v>
      </c>
      <c r="B20" s="224"/>
      <c r="C20" s="107">
        <v>13281</v>
      </c>
      <c r="D20" s="105">
        <v>10814</v>
      </c>
      <c r="E20" s="103" t="str">
        <f t="shared" si="4"/>
        <v>pokleslo</v>
      </c>
      <c r="F20" s="216" t="str">
        <f t="shared" si="5"/>
        <v>mierny pokles</v>
      </c>
      <c r="G20" s="217"/>
      <c r="H20" s="226">
        <f t="shared" si="3"/>
        <v>-2467</v>
      </c>
    </row>
    <row r="21" spans="1:10" s="104" customFormat="1" ht="15.75" customHeight="1">
      <c r="A21" s="223" t="s">
        <v>54</v>
      </c>
      <c r="B21" s="224"/>
      <c r="C21" s="107">
        <f>SUM(C15:C20)</f>
        <v>5245788</v>
      </c>
      <c r="D21" s="107">
        <f>SUM(D15:D20)</f>
        <v>5304937</v>
      </c>
      <c r="E21" s="103" t="str">
        <f t="shared" si="4"/>
        <v>vzrástlo</v>
      </c>
      <c r="F21" s="216" t="str">
        <f t="shared" si="5"/>
        <v>mierny prírastok</v>
      </c>
      <c r="G21" s="217"/>
      <c r="H21" s="226">
        <f t="shared" si="3"/>
        <v>59149</v>
      </c>
      <c r="J21"/>
    </row>
    <row r="22" s="104" customFormat="1" ht="12.75">
      <c r="G22" s="109"/>
    </row>
    <row r="23" spans="1:3" ht="12.75">
      <c r="A23" s="92"/>
      <c r="B23" s="92"/>
      <c r="C23" s="92"/>
    </row>
    <row r="24" spans="1:2" ht="12.75" customHeight="1">
      <c r="A24" s="93"/>
      <c r="B24" s="94" t="s">
        <v>76</v>
      </c>
    </row>
    <row r="25" spans="1:3" ht="12.75" customHeight="1">
      <c r="A25" s="93"/>
      <c r="B25" s="149" t="s">
        <v>77</v>
      </c>
      <c r="C25" s="92"/>
    </row>
    <row r="26" spans="1:11" ht="12.75" customHeight="1">
      <c r="A26" s="93"/>
      <c r="B26" s="88" t="s">
        <v>78</v>
      </c>
      <c r="D26" s="92"/>
      <c r="K26" s="169" t="s">
        <v>185</v>
      </c>
    </row>
    <row r="27" spans="1:11" ht="12.75" customHeight="1">
      <c r="A27" s="93"/>
      <c r="B27" s="95" t="s">
        <v>79</v>
      </c>
      <c r="C27" s="95"/>
      <c r="D27" s="95"/>
      <c r="E27" s="95"/>
      <c r="F27" s="95"/>
      <c r="G27" s="95"/>
      <c r="H27" s="95"/>
      <c r="I27" s="95"/>
      <c r="J27" s="95"/>
      <c r="K27" s="169" t="s">
        <v>186</v>
      </c>
    </row>
    <row r="28" spans="1:11" ht="12.75" customHeight="1">
      <c r="A28" s="92"/>
      <c r="B28" s="95" t="s">
        <v>80</v>
      </c>
      <c r="C28" s="95"/>
      <c r="D28" s="95"/>
      <c r="E28" s="95"/>
      <c r="F28" s="95"/>
      <c r="G28" s="95"/>
      <c r="H28" s="95"/>
      <c r="I28" s="95"/>
      <c r="J28" s="95"/>
      <c r="K28" s="169" t="s">
        <v>137</v>
      </c>
    </row>
    <row r="29" spans="1:11" ht="12.75" customHeight="1">
      <c r="A29" s="93"/>
      <c r="B29" s="96" t="s">
        <v>81</v>
      </c>
      <c r="C29" s="96"/>
      <c r="D29" s="96"/>
      <c r="E29" s="96"/>
      <c r="F29" s="96"/>
      <c r="G29" s="96"/>
      <c r="H29" s="96"/>
      <c r="I29" s="96"/>
      <c r="J29" s="96"/>
      <c r="K29" s="169" t="s">
        <v>187</v>
      </c>
    </row>
    <row r="30" spans="1:20" ht="12.75" customHeight="1">
      <c r="A30" s="93"/>
      <c r="B30" s="96" t="s">
        <v>82</v>
      </c>
      <c r="C30" s="96"/>
      <c r="D30" s="96"/>
      <c r="E30" s="96"/>
      <c r="F30" s="96"/>
      <c r="G30" s="96"/>
      <c r="H30" s="96"/>
      <c r="I30" s="96"/>
      <c r="J30" s="96"/>
      <c r="K30" s="93"/>
      <c r="M30" s="228"/>
      <c r="N30" s="228"/>
      <c r="O30" s="228"/>
      <c r="P30" s="228"/>
      <c r="Q30" s="228"/>
      <c r="R30" s="228"/>
      <c r="S30" s="228"/>
      <c r="T30" s="228"/>
    </row>
    <row r="31" spans="1:20" ht="12.75" customHeight="1">
      <c r="A31" s="93"/>
      <c r="C31" s="92" t="s">
        <v>191</v>
      </c>
      <c r="D31" s="92"/>
      <c r="E31" s="92"/>
      <c r="F31" s="92"/>
      <c r="G31" s="92"/>
      <c r="H31" s="92"/>
      <c r="I31" s="92"/>
      <c r="J31" s="92"/>
      <c r="K31" s="225" t="s">
        <v>189</v>
      </c>
      <c r="L31" s="225"/>
      <c r="M31" s="225"/>
      <c r="N31" s="225"/>
      <c r="O31" s="225"/>
      <c r="P31" s="225"/>
      <c r="Q31" s="225"/>
      <c r="R31" s="228"/>
      <c r="S31" s="228"/>
      <c r="T31" s="228"/>
    </row>
    <row r="32" spans="1:20" ht="12.75" customHeight="1">
      <c r="A32" s="93"/>
      <c r="C32" s="96" t="s">
        <v>192</v>
      </c>
      <c r="D32" s="96"/>
      <c r="E32" s="93"/>
      <c r="F32" s="93"/>
      <c r="G32" s="93"/>
      <c r="H32" s="93"/>
      <c r="I32" s="93"/>
      <c r="J32" s="93"/>
      <c r="K32" s="225"/>
      <c r="L32" s="225"/>
      <c r="M32" s="225"/>
      <c r="N32" s="225"/>
      <c r="O32" s="225"/>
      <c r="P32" s="225"/>
      <c r="Q32" s="225"/>
      <c r="R32" s="228"/>
      <c r="S32" s="228"/>
      <c r="T32" s="228"/>
    </row>
    <row r="33" spans="1:20" ht="12.75">
      <c r="A33" s="92"/>
      <c r="C33" s="96" t="s">
        <v>83</v>
      </c>
      <c r="D33" s="96"/>
      <c r="E33" s="96"/>
      <c r="F33" s="96"/>
      <c r="G33" s="96"/>
      <c r="H33" s="96"/>
      <c r="I33" s="96"/>
      <c r="J33" s="96"/>
      <c r="K33" s="225"/>
      <c r="L33" s="225"/>
      <c r="M33" s="225"/>
      <c r="N33" s="225"/>
      <c r="O33" s="225"/>
      <c r="P33" s="225"/>
      <c r="Q33" s="225"/>
      <c r="R33" s="228"/>
      <c r="S33" s="228"/>
      <c r="T33" s="228"/>
    </row>
    <row r="34" spans="1:12" ht="12.75" customHeight="1">
      <c r="A34" s="92"/>
      <c r="C34" s="96" t="s">
        <v>84</v>
      </c>
      <c r="D34" s="96"/>
      <c r="E34" s="93"/>
      <c r="F34" s="93"/>
      <c r="G34" s="93"/>
      <c r="H34" s="93"/>
      <c r="I34" s="93"/>
      <c r="J34" s="93"/>
      <c r="L34" s="169"/>
    </row>
    <row r="35" spans="2:11" ht="12.75">
      <c r="B35" s="92" t="s">
        <v>86</v>
      </c>
      <c r="C35" s="92"/>
      <c r="D35" s="92"/>
      <c r="E35" s="92"/>
      <c r="F35" s="92"/>
      <c r="G35" s="92"/>
      <c r="H35" s="92"/>
      <c r="I35" s="92"/>
      <c r="K35" s="169" t="s">
        <v>188</v>
      </c>
    </row>
    <row r="36" spans="2:12" ht="12.75">
      <c r="B36" s="92" t="s">
        <v>87</v>
      </c>
      <c r="C36" s="92"/>
      <c r="D36" s="92"/>
      <c r="L36" s="169"/>
    </row>
    <row r="37" spans="3:12" ht="12.75">
      <c r="C37" s="95"/>
      <c r="D37" s="95"/>
      <c r="E37" s="95" t="s">
        <v>85</v>
      </c>
      <c r="F37" s="95"/>
      <c r="H37" s="95"/>
      <c r="I37" s="95"/>
      <c r="J37" s="93"/>
      <c r="K37" s="93"/>
      <c r="L37" s="169"/>
    </row>
    <row r="38" spans="3:12" ht="12.75">
      <c r="C38" s="95"/>
      <c r="D38" s="95"/>
      <c r="E38" s="95"/>
      <c r="F38" s="95"/>
      <c r="G38" s="95"/>
      <c r="H38" s="95"/>
      <c r="I38" s="95"/>
      <c r="J38" s="93"/>
      <c r="K38" s="93"/>
      <c r="L38" s="191"/>
    </row>
    <row r="39" spans="3:12" ht="12.75">
      <c r="C39" s="95"/>
      <c r="D39" s="95"/>
      <c r="E39" s="95"/>
      <c r="F39" s="95"/>
      <c r="H39" s="95"/>
      <c r="I39" s="95"/>
      <c r="J39" s="95"/>
      <c r="K39" s="93"/>
      <c r="L39" s="191"/>
    </row>
    <row r="40" spans="3:8" ht="12.75">
      <c r="C40" s="92"/>
      <c r="D40" s="92"/>
      <c r="E40" s="92"/>
      <c r="F40" s="92"/>
      <c r="G40" s="92"/>
      <c r="H40" s="92"/>
    </row>
    <row r="41" spans="3:10" ht="12.75">
      <c r="C41" s="92"/>
      <c r="D41" s="92"/>
      <c r="E41" s="92"/>
      <c r="F41" s="92"/>
      <c r="G41" s="92"/>
      <c r="H41" s="92"/>
      <c r="I41" s="92"/>
      <c r="J41" s="92"/>
    </row>
    <row r="42" spans="3:5" ht="12.75">
      <c r="C42" s="92"/>
      <c r="D42" s="92"/>
      <c r="E42" s="92"/>
    </row>
    <row r="43" ht="12.75"/>
    <row r="44" ht="12.75"/>
    <row r="45" ht="12.75"/>
    <row r="46" ht="12.75"/>
  </sheetData>
  <sheetProtection/>
  <mergeCells count="25">
    <mergeCell ref="H13:H14"/>
    <mergeCell ref="K31:Q33"/>
    <mergeCell ref="A21:B21"/>
    <mergeCell ref="F21:G21"/>
    <mergeCell ref="A15:B15"/>
    <mergeCell ref="A16:B16"/>
    <mergeCell ref="A17:B17"/>
    <mergeCell ref="A18:B18"/>
    <mergeCell ref="A19:B19"/>
    <mergeCell ref="A20:B20"/>
    <mergeCell ref="F15:G15"/>
    <mergeCell ref="F16:G16"/>
    <mergeCell ref="F17:G17"/>
    <mergeCell ref="F18:G18"/>
    <mergeCell ref="F19:G19"/>
    <mergeCell ref="F20:G20"/>
    <mergeCell ref="A1:A2"/>
    <mergeCell ref="B1:B2"/>
    <mergeCell ref="C1:H1"/>
    <mergeCell ref="I1:I2"/>
    <mergeCell ref="J1:J2"/>
    <mergeCell ref="A13:B14"/>
    <mergeCell ref="C13:D13"/>
    <mergeCell ref="E13:E14"/>
    <mergeCell ref="F13:G14"/>
  </mergeCells>
  <conditionalFormatting sqref="C3:H10">
    <cfRule type="cellIs" priority="1" dxfId="2" operator="greaterThan" stopIfTrue="1">
      <formula>500000</formula>
    </cfRule>
    <cfRule type="cellIs" priority="2" dxfId="1" operator="greaterThan" stopIfTrue="1">
      <formula>30000</formula>
    </cfRule>
    <cfRule type="cellIs" priority="3" dxfId="0" operator="lessThanOrEqual" stopIfTrue="1">
      <formula>30000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1" r:id="rId2"/>
  <headerFooter alignWithMargins="0">
    <oddHeader>&amp;L30. 5. 2006&amp;CSčítanie obyvateľstva&amp;Rwww.statistics.sk</oddHeader>
    <oddFooter>&amp;RBarbora Očenášková  3. D/1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Bobočekoví</cp:lastModifiedBy>
  <cp:lastPrinted>2011-04-04T05:46:49Z</cp:lastPrinted>
  <dcterms:created xsi:type="dcterms:W3CDTF">2011-03-28T17:02:57Z</dcterms:created>
  <dcterms:modified xsi:type="dcterms:W3CDTF">2017-02-03T22:51:19Z</dcterms:modified>
  <cp:category/>
  <cp:version/>
  <cp:contentType/>
  <cp:contentStatus/>
</cp:coreProperties>
</file>